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UUVdss9tLU2s3ZObpYzDlb2jj4Z0EsFMqJljzI8gItUJcBsstiz29bzGNZPYBnkEQSvsdin9M3X+HTy3z53o3Q==" workbookSaltValue="K9VxvrfcDrmEnWHCA4L8N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S78" i="83" l="1"/>
  <c r="U78" i="83"/>
  <c r="AA78" i="83" s="1"/>
  <c r="U194" i="83"/>
  <c r="Q78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O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161" i="83" l="1"/>
  <c r="AP161" i="83"/>
  <c r="AP245" i="83"/>
  <c r="AQ245" i="83"/>
  <c r="AI334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<sst xmlns="http://schemas.openxmlformats.org/spreadsheetml/2006/main" count="65877" uniqueCount="755">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</sst>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33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0.357968418204622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9.8863490842104971E-4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0.64104294688695695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1089107.81</v>
      </c>
    </row>
    <row r="4" spans="1:29" x14ac:dyDescent="0.25">
      <c r="A4" s="2">
        <f>Results!$D$3</f>
        <v>33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1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7.5999999999999998E-2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7.0000000000000007E-2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6.9000000000000006E-2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6.7000000000000004E-2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1.4999999999999999E-2</v>
      </c>
      <c r="AB4" s="2">
        <f>SUMIFS(PERSALDATA!$G$2:$G$20871,PERSALDATA!$A$2:$A$20871,WORKING!A4,PERSALDATA!$D$2:$D$20871,WORKING!B4,PERSALDATA!$E$2:$E$20871,WORKING!C4,PERSALDATA!$F$2:$F$20871,"S&amp;W: BASIC SALARY (RES)")</f>
        <v>9</v>
      </c>
      <c r="AC4" s="2">
        <f>SUMIFS(PERSALDATA!$H$2:$H$20871,PERSALDATA!$A$2:$A$20871,WORKING!A4,PERSALDATA!$D$2:$D$20871,WORKING!B4,PERSALDATA!$E$2:$E$20871,WORKING!C4)</f>
        <v>542958.97</v>
      </c>
    </row>
    <row r="5" spans="1:29" x14ac:dyDescent="0.25">
      <c r="A5" s="2">
        <f>Results!$D$3</f>
        <v>33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0.72915838279337675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0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0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0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1.0542558741021496E-3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0.26978736133252101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7.5999999999999984E-2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7.0000000000000007E-2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6.8999999999999992E-2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6.7000000000000004E-2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1.4984186161888466E-2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10965.08</v>
      </c>
    </row>
    <row r="6" spans="1:29" x14ac:dyDescent="0.25">
      <c r="A6" s="2">
        <f>Results!$D$3</f>
        <v>33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0.67716862293523705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5.3902935204655618E-2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7.0976845437978345E-2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9.3796131051060855E-3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7.0702338165728629E-2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8.4880242090617064E-2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1.8416823665092358E-2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4.0448047432125244E-4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8.9675074895728089E-3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3.2566619183383217E-3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1.943929513352216E-3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7.1595592481033823E-2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7.0350766618106145E-2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6.9350766618106144E-2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6.7350766618106128E-2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1.2868745038829572E-2</v>
      </c>
      <c r="AB6" s="2">
        <f>SUMIFS(PERSALDATA!$G$2:$G$20871,PERSALDATA!$A$2:$A$20871,WORKING!A6,PERSALDATA!$D$2:$D$20871,WORKING!B6,PERSALDATA!$E$2:$E$20871,WORKING!C6,PERSALDATA!$F$2:$F$20871,"S&amp;W: BASIC SALARY (RES)")</f>
        <v>26</v>
      </c>
      <c r="AC6" s="2">
        <f>SUMIFS(PERSALDATA!$H$2:$H$20871,PERSALDATA!$A$2:$A$20871,WORKING!A6,PERSALDATA!$D$2:$D$20871,WORKING!B6,PERSALDATA!$E$2:$E$20871,WORKING!C6)</f>
        <v>4569095.7100000009</v>
      </c>
    </row>
    <row r="7" spans="1:29" x14ac:dyDescent="0.25">
      <c r="A7" s="2">
        <f>Results!$D$3</f>
        <v>33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0.74554520487785914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5.452952929602102E-2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5.3320000101792733E-2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2.3157845498755891E-2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9.6920006548665463E-2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6.1152250318765406E-3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3.7679466738600194E-4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2.0035393977643329E-2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7.2271889829246358E-2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6.9814167681463424E-2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6.8814167681463423E-2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6.6814167681463421E-2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1.3847180395980981E-2</v>
      </c>
      <c r="AB7" s="2">
        <f>SUMIFS(PERSALDATA!$G$2:$G$20871,PERSALDATA!$A$2:$A$20871,WORKING!A7,PERSALDATA!$D$2:$D$20871,WORKING!B7,PERSALDATA!$E$2:$E$20871,WORKING!C7,PERSALDATA!$F$2:$F$20871,"S&amp;W: BASIC SALARY (RES)")</f>
        <v>4</v>
      </c>
      <c r="AC7" s="2">
        <f>SUMIFS(PERSALDATA!$H$2:$H$20871,PERSALDATA!$A$2:$A$20871,WORKING!A7,PERSALDATA!$D$2:$D$20871,WORKING!B7,PERSALDATA!$E$2:$E$20871,WORKING!C7)</f>
        <v>742685.66999999993</v>
      </c>
    </row>
    <row r="8" spans="1:29" x14ac:dyDescent="0.25">
      <c r="A8" s="2">
        <f>Results!$D$3</f>
        <v>33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0.71965169568626652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5.591489113503019E-2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5.4238129659895142E-2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6.2142355328237827E-3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4.6015726404404253E-2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9.3656967610696709E-2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1.1019182496906565E-2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3.0781752117747428E-4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1.2981353952799302E-2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7.2522122315509613E-2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7.014785459946711E-2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6.914785459946711E-2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6.7147854599467108E-2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1.3491574896217847E-2</v>
      </c>
      <c r="AB8" s="2">
        <f>SUMIFS(PERSALDATA!$G$2:$G$20871,PERSALDATA!$A$2:$A$20871,WORKING!A8,PERSALDATA!$D$2:$D$20871,WORKING!B8,PERSALDATA!$E$2:$E$20871,WORKING!C8,PERSALDATA!$F$2:$F$20871,"S&amp;W: BASIC SALARY (RES)")</f>
        <v>57</v>
      </c>
      <c r="AC8" s="2">
        <f>SUMIFS(PERSALDATA!$H$2:$H$20871,PERSALDATA!$A$2:$A$20871,WORKING!A8,PERSALDATA!$D$2:$D$20871,WORKING!B8,PERSALDATA!$E$2:$E$20871,WORKING!C8)</f>
        <v>12859956.720000003</v>
      </c>
    </row>
    <row r="9" spans="1:29" x14ac:dyDescent="0.25">
      <c r="A9" s="2">
        <f>Results!$D$3</f>
        <v>33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0.73762080425435661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5.5580080845303553E-2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4.0977939663476383E-2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3.7302579530220747E-3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4.3021841474364449E-2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9.3405477891947586E-2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1.2083574146889103E-2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2.5477365041641633E-4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7.0714112645963141E-3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5.2160114815442988E-3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1.037827374083254E-3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7.3487982366216897E-2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7.0235548225480726E-2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6.9235548225480711E-2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6.7235548225480696E-2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1.373618167817614E-2</v>
      </c>
      <c r="AB9" s="2">
        <f>SUMIFS(PERSALDATA!$G$2:$G$20871,PERSALDATA!$A$2:$A$20871,WORKING!A9,PERSALDATA!$D$2:$D$20871,WORKING!B9,PERSALDATA!$E$2:$E$20871,WORKING!C9,PERSALDATA!$F$2:$F$20871,"S&amp;W: BASIC SALARY (RES)")</f>
        <v>29</v>
      </c>
      <c r="AC9" s="2">
        <f>SUMIFS(PERSALDATA!$H$2:$H$20871,PERSALDATA!$A$2:$A$20871,WORKING!A9,PERSALDATA!$D$2:$D$20871,WORKING!B9,PERSALDATA!$E$2:$E$20871,WORKING!C9)</f>
        <v>8558263.3699999992</v>
      </c>
    </row>
    <row r="10" spans="1:29" x14ac:dyDescent="0.25">
      <c r="A10" s="2">
        <f>Results!$D$3</f>
        <v>33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0.72841088874029258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6.0613209321935396E-2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3.3049973062648869E-2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4.0954800290790259E-3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4.5287846528942195E-2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9.2014186541672385E-2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1.8339275859833238E-2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2.0285359310512073E-4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7.6239430341169265E-3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7.7908890183669647E-3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2.5714542700071169E-3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7.4122231898643851E-2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7.0348817967307631E-2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6.9348817967307644E-2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6.7348817967307642E-2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1.3821889902229552E-2</v>
      </c>
      <c r="AB10" s="2">
        <f>SUMIFS(PERSALDATA!$G$2:$G$20871,PERSALDATA!$A$2:$A$20871,WORKING!A10,PERSALDATA!$D$2:$D$20871,WORKING!B10,PERSALDATA!$E$2:$E$20871,WORKING!C10,PERSALDATA!$F$2:$F$20871,"S&amp;W: BASIC SALARY (RES)")</f>
        <v>27</v>
      </c>
      <c r="AC10" s="2">
        <f>SUMIFS(PERSALDATA!$H$2:$H$20871,PERSALDATA!$A$2:$A$20871,WORKING!A10,PERSALDATA!$D$2:$D$20871,WORKING!B10,PERSALDATA!$E$2:$E$20871,WORKING!C10)</f>
        <v>9857799.2600000016</v>
      </c>
    </row>
    <row r="11" spans="1:29" x14ac:dyDescent="0.25">
      <c r="A11" s="2">
        <f>Results!$D$3</f>
        <v>33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0.75618880624859464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5.4721322392503838E-2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2.8641118920479627E-2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9.5760704341677091E-4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3.7507576033073316E-2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9.7930675261244438E-2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1.5296381565864854E-2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1.7693871778935236E-4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1.2701684284836567E-3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7.3094053885494059E-3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7.4348381026506566E-2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7.0276202451291306E-2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6.9276202451291291E-2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6.7276202451291303E-2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1.4005115494929863E-2</v>
      </c>
      <c r="AB11" s="2">
        <f>SUMIFS(PERSALDATA!$G$2:$G$20871,PERSALDATA!$A$2:$A$20871,WORKING!A11,PERSALDATA!$D$2:$D$20871,WORKING!B11,PERSALDATA!$E$2:$E$20871,WORKING!C11,PERSALDATA!$F$2:$F$20871,"S&amp;W: BASIC SALARY (RES)")</f>
        <v>31</v>
      </c>
      <c r="AC11" s="2">
        <f>SUMIFS(PERSALDATA!$H$2:$H$20871,PERSALDATA!$A$2:$A$20871,WORKING!A11,PERSALDATA!$D$2:$D$20871,WORKING!B11,PERSALDATA!$E$2:$E$20871,WORKING!C11)</f>
        <v>13344450.720000001</v>
      </c>
    </row>
    <row r="12" spans="1:29" x14ac:dyDescent="0.25">
      <c r="A12" s="2">
        <f>Results!$D$3</f>
        <v>33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0.75203368044615049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6.1547843163896353E-2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2.4437625404916494E-2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1.4670025922804335E-3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4.4262478994070091E-2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9.780599784987587E-2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1.4211609620936856E-2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1.4097351253992648E-4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2.6352087416925529E-3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1.457579673640999E-3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7.4762415175143301E-2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7.0419560930861907E-2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6.9419560930861907E-2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6.7419560930861905E-2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1.3967383831327103E-2</v>
      </c>
      <c r="AB12" s="2">
        <f>SUMIFS(PERSALDATA!$G$2:$G$20871,PERSALDATA!$A$2:$A$20871,WORKING!A12,PERSALDATA!$D$2:$D$20871,WORKING!B12,PERSALDATA!$E$2:$E$20871,WORKING!C12,PERSALDATA!$F$2:$F$20871,"S&amp;W: BASIC SALARY (RES)")</f>
        <v>13</v>
      </c>
      <c r="AC12" s="2">
        <f>SUMIFS(PERSALDATA!$H$2:$H$20871,PERSALDATA!$A$2:$A$20871,WORKING!A12,PERSALDATA!$D$2:$D$20871,WORKING!B12,PERSALDATA!$E$2:$E$20871,WORKING!C12)</f>
        <v>6616845.8399999989</v>
      </c>
    </row>
    <row r="13" spans="1:29" x14ac:dyDescent="0.25">
      <c r="A13" s="2">
        <f>Results!$D$3</f>
        <v>33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0.67992256318038136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5.0153319290070116E-2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2.9458308478702011E-2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5.1848152331756593E-4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1.7139040562573048E-2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8.820854940417043E-2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1.6365456497424598E-2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1.1423799928405459E-4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8.5476848763562069E-2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2.9688981459047008E-2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2.9542128414677461E-3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1.4299326194391612E-2</v>
      </c>
      <c r="AB13" s="2">
        <f>SUMIFS(PERSALDATA!$G$2:$G$20871,PERSALDATA!$A$2:$A$20871,WORKING!A13,PERSALDATA!$D$2:$D$20871,WORKING!B13,PERSALDATA!$E$2:$E$20871,WORKING!C13,PERSALDATA!$F$2:$F$20871,"S&amp;W: BASIC SALARY (RES)")</f>
        <v>27</v>
      </c>
      <c r="AC13" s="2">
        <f>SUMIFS(PERSALDATA!$H$2:$H$20871,PERSALDATA!$A$2:$A$20871,WORKING!A13,PERSALDATA!$D$2:$D$20871,WORKING!B13,PERSALDATA!$E$2:$E$20871,WORKING!C13)</f>
        <v>17810798.619999997</v>
      </c>
    </row>
    <row r="14" spans="1:29" x14ac:dyDescent="0.25">
      <c r="A14" s="2">
        <f>Results!$D$3</f>
        <v>33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0.71544784678595608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5.7213514470191879E-2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1.2565244677096526E-2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3.6881134533689323E-4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1.3693694526077747E-2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8.916548050558612E-2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1.6414011417317291E-2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9.2460647400184818E-5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9.0636076561249654E-2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3.7288699871519874E-3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6.7398907663581505E-4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1.4604729002241384E-2</v>
      </c>
      <c r="AB14" s="2">
        <f>SUMIFS(PERSALDATA!$G$2:$G$20871,PERSALDATA!$A$2:$A$20871,WORKING!A14,PERSALDATA!$D$2:$D$20871,WORKING!B14,PERSALDATA!$E$2:$E$20871,WORKING!C14,PERSALDATA!$F$2:$F$20871,"S&amp;W: BASIC SALARY (RES)")</f>
        <v>18</v>
      </c>
      <c r="AC14" s="2">
        <f>SUMIFS(PERSALDATA!$H$2:$H$20871,PERSALDATA!$A$2:$A$20871,WORKING!A14,PERSALDATA!$D$2:$D$20871,WORKING!B14,PERSALDATA!$E$2:$E$20871,WORKING!C14)</f>
        <v>13178255.119999997</v>
      </c>
    </row>
    <row r="15" spans="1:29" x14ac:dyDescent="0.25">
      <c r="A15" s="2">
        <f>Results!$D$3</f>
        <v>33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0.62546281529548642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4.3902578863746961E-2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2.0515234711290964E-2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1.2312232057647825E-2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7.6432732452401814E-2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1.4975790554120554E-2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7.3725856326936528E-5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0.19164874413842542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1.1209286151216896E-2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3.4668599193361451E-3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1.4506482110621013E-2</v>
      </c>
      <c r="AB15" s="2">
        <f>SUMIFS(PERSALDATA!$G$2:$G$20871,PERSALDATA!$A$2:$A$20871,WORKING!A15,PERSALDATA!$D$2:$D$20871,WORKING!B15,PERSALDATA!$E$2:$E$20871,WORKING!C15,PERSALDATA!$F$2:$F$20871,"S&amp;W: BASIC SALARY (RES)")</f>
        <v>18</v>
      </c>
      <c r="AC15" s="2">
        <f>SUMIFS(PERSALDATA!$H$2:$H$20871,PERSALDATA!$A$2:$A$20871,WORKING!A15,PERSALDATA!$D$2:$D$20871,WORKING!B15,PERSALDATA!$E$2:$E$20871,WORKING!C15)</f>
        <v>17080574.75</v>
      </c>
    </row>
    <row r="16" spans="1:29" x14ac:dyDescent="0.25">
      <c r="A16" s="2">
        <f>Results!$D$3</f>
        <v>33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0.58941361445839879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3.7486936557463948E-2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3.253026848685845E-2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1.7116717191697852E-2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7.5067682331714555E-2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2.1844248407433146E-2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5.9312268682485681E-5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0.19785202561129211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1.6776901238486467E-2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1.0456171070385661E-2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1.3961223775865021E-3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1.4254405530791417E-2</v>
      </c>
      <c r="AB16" s="2">
        <f>SUMIFS(PERSALDATA!$G$2:$G$20871,PERSALDATA!$A$2:$A$20871,WORKING!A16,PERSALDATA!$D$2:$D$20871,WORKING!B16,PERSALDATA!$E$2:$E$20871,WORKING!C16,PERSALDATA!$F$2:$F$20871,"S&amp;W: BASIC SALARY (RES)")</f>
        <v>5</v>
      </c>
      <c r="AC16" s="2">
        <f>SUMIFS(PERSALDATA!$H$2:$H$20871,PERSALDATA!$A$2:$A$20871,WORKING!A16,PERSALDATA!$D$2:$D$20871,WORKING!B16,PERSALDATA!$E$2:$E$20871,WORKING!C16)</f>
        <v>5995892.7200000007</v>
      </c>
    </row>
    <row r="17" spans="1:29" x14ac:dyDescent="0.25">
      <c r="A17" s="2">
        <f>Results!$D$3</f>
        <v>33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0.58696066595493812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7.9820260015271566E-2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8.5230464476388889E-3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7.6304759267445357E-2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3.611295614785557E-2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4.6944847634880522E-5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0.19997195790190589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1.2259409417309557E-2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1.4871450130570891E-2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2483765.6500000004</v>
      </c>
    </row>
    <row r="18" spans="1:29" x14ac:dyDescent="0.25">
      <c r="A18" s="2">
        <f>Results!$D$3</f>
        <v>33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0.57050863755034953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3.1753627264728627E-2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6.5377973169725755E-3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0.11594568574140574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7.6773879562748292E-3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9.1330730889656833E-6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0.2683403956948911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-8.6563151855794242E-4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9.2966920846513656E-5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1.4901796044149075E-2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5745054.21</v>
      </c>
    </row>
    <row r="19" spans="1:29" x14ac:dyDescent="0.25">
      <c r="A19" s="2">
        <f>Results!$D$3</f>
        <v>33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33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33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33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33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33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33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0.77172685902336136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2.607293581981018E-2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3.0394855038764684E-2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4.5955482983684647E-2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8.7975923801111564E-2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2.4001984784034029E-3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3.3049580274491713E-4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3.5143249052119255E-2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7.4333367778825474E-2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7.0385383694367615E-2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6.9385383694367642E-2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6.7385383694367626E-2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1.3849787492622088E-2</v>
      </c>
      <c r="AB25" s="2">
        <f>SUMIFS(PERSALDATA!$G$2:$G$20871,PERSALDATA!$A$2:$A$20871,WORKING!A25,PERSALDATA!$D$2:$D$20871,WORKING!B25,PERSALDATA!$E$2:$E$20871,WORKING!C25,PERSALDATA!$F$2:$F$20871,"S&amp;W: BASIC SALARY (RES)")</f>
        <v>10</v>
      </c>
      <c r="AC25" s="2">
        <f>SUMIFS(PERSALDATA!$H$2:$H$20871,PERSALDATA!$A$2:$A$20871,WORKING!A25,PERSALDATA!$D$2:$D$20871,WORKING!B25,PERSALDATA!$E$2:$E$20871,WORKING!C25)</f>
        <v>1658175.37</v>
      </c>
    </row>
    <row r="26" spans="1:29" x14ac:dyDescent="0.25">
      <c r="A26" s="2">
        <f>Results!$D$3</f>
        <v>33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0.72923137736231247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6.342906684219958E-2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4.0984860434189703E-2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2.2672341523998149E-3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4.9373164905197463E-2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9.4799450576105879E-2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1.966560944933559E-2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2.4923627825943303E-4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7.3576374915674328E-2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7.0330748869236057E-2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6.933074886923607E-2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6.7330748869236054E-2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1.36408910757353E-2</v>
      </c>
      <c r="AB26" s="2">
        <f>SUMIFS(PERSALDATA!$G$2:$G$20871,PERSALDATA!$A$2:$A$20871,WORKING!A26,PERSALDATA!$D$2:$D$20871,WORKING!B26,PERSALDATA!$E$2:$E$20871,WORKING!C26,PERSALDATA!$F$2:$F$20871,"S&amp;W: BASIC SALARY (RES)")</f>
        <v>7</v>
      </c>
      <c r="AC26" s="2">
        <f>SUMIFS(PERSALDATA!$H$2:$H$20871,PERSALDATA!$A$2:$A$20871,WORKING!A26,PERSALDATA!$D$2:$D$20871,WORKING!B26,PERSALDATA!$E$2:$E$20871,WORKING!C26)</f>
        <v>2152014.16</v>
      </c>
    </row>
    <row r="27" spans="1:29" x14ac:dyDescent="0.25">
      <c r="A27" s="2">
        <f>Results!$D$3</f>
        <v>33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0.74673981277688517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5.4092846415490184E-2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2.8103373085478507E-2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2.9047936312678116E-3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3.1806804454185461E-2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8.4719566881443345E-2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1.6250996931594808E-2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2.1437478460791085E-4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3.5167431039046612E-2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7.4309438907862221E-2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7.0196068335957984E-2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6.9196068335957997E-2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6.7196068335957995E-2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1.4098131715135921E-2</v>
      </c>
      <c r="AB27" s="2">
        <f>SUMIFS(PERSALDATA!$G$2:$G$20871,PERSALDATA!$A$2:$A$20871,WORKING!A27,PERSALDATA!$D$2:$D$20871,WORKING!B27,PERSALDATA!$E$2:$E$20871,WORKING!C27,PERSALDATA!$F$2:$F$20871,"S&amp;W: BASIC SALARY (RES)")</f>
        <v>11</v>
      </c>
      <c r="AC27" s="2">
        <f>SUMIFS(PERSALDATA!$H$2:$H$20871,PERSALDATA!$A$2:$A$20871,WORKING!A27,PERSALDATA!$D$2:$D$20871,WORKING!B27,PERSALDATA!$E$2:$E$20871,WORKING!C27)</f>
        <v>3725531.4400000004</v>
      </c>
    </row>
    <row r="28" spans="1:29" x14ac:dyDescent="0.25">
      <c r="A28" s="2">
        <f>Results!$D$3</f>
        <v>33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0.7662266732852322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6.0718140855819495E-2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2.8803099518636931E-2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1.3819423189392081E-3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2.3105025158257981E-2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9.9608977246010214E-2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1.269087507899334E-2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1.814682950342372E-4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7.2837982430763986E-3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7.4134434788799219E-2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7.005854438218749E-2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6.9058544382187503E-2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6.7058544382187502E-2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1.4218656105421064E-2</v>
      </c>
      <c r="AB28" s="2">
        <f>SUMIFS(PERSALDATA!$G$2:$G$20871,PERSALDATA!$A$2:$A$20871,WORKING!A28,PERSALDATA!$D$2:$D$20871,WORKING!B28,PERSALDATA!$E$2:$E$20871,WORKING!C28,PERSALDATA!$F$2:$F$20871,"S&amp;W: BASIC SALARY (RES)")</f>
        <v>19</v>
      </c>
      <c r="AC28" s="2">
        <f>SUMIFS(PERSALDATA!$H$2:$H$20871,PERSALDATA!$A$2:$A$20871,WORKING!A28,PERSALDATA!$D$2:$D$20871,WORKING!B28,PERSALDATA!$E$2:$E$20871,WORKING!C28)</f>
        <v>6843013.54</v>
      </c>
    </row>
    <row r="29" spans="1:29" x14ac:dyDescent="0.25">
      <c r="A29" s="2">
        <f>Results!$D$3</f>
        <v>33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0.74618532359077416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6.1490658676376909E-2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2.6341014203972401E-2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4.4637287551427901E-2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9.7003770121071489E-2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2.4205440867213306E-2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1.3650498916369696E-4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7.4623004946218083E-2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7.0406149171231697E-2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6.9406149171231682E-2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6.7406149171231694E-2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1.3933277898831536E-2</v>
      </c>
      <c r="AB29" s="2">
        <f>SUMIFS(PERSALDATA!$G$2:$G$20871,PERSALDATA!$A$2:$A$20871,WORKING!A29,PERSALDATA!$D$2:$D$20871,WORKING!B29,PERSALDATA!$E$2:$E$20871,WORKING!C29,PERSALDATA!$F$2:$F$20871,"S&amp;W: BASIC SALARY (RES)")</f>
        <v>1</v>
      </c>
      <c r="AC29" s="2">
        <f>SUMIFS(PERSALDATA!$H$2:$H$20871,PERSALDATA!$A$2:$A$20871,WORKING!A29,PERSALDATA!$D$2:$D$20871,WORKING!B29,PERSALDATA!$E$2:$E$20871,WORKING!C29)</f>
        <v>512508.74000000005</v>
      </c>
    </row>
    <row r="30" spans="1:29" x14ac:dyDescent="0.25">
      <c r="A30" s="2">
        <f>Results!$D$3</f>
        <v>33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0.70895802963622589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4.6775919646659704E-2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2.2413083186280491E-2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4.5639316057709386E-4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9.1671844101142985E-3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9.2164188638867064E-2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1.4885104549291863E-2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1.1801519486747855E-4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9.9335766653115318E-2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5.7263149240006491E-3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1.4524525758131063E-2</v>
      </c>
      <c r="AB30" s="2">
        <f>SUMIFS(PERSALDATA!$G$2:$G$20871,PERSALDATA!$A$2:$A$20871,WORKING!A30,PERSALDATA!$D$2:$D$20871,WORKING!B30,PERSALDATA!$E$2:$E$20871,WORKING!C30,PERSALDATA!$F$2:$F$20871,"S&amp;W: BASIC SALARY (RES)")</f>
        <v>13</v>
      </c>
      <c r="AC30" s="2">
        <f>SUMIFS(PERSALDATA!$H$2:$H$20871,PERSALDATA!$A$2:$A$20871,WORKING!A30,PERSALDATA!$D$2:$D$20871,WORKING!B30,PERSALDATA!$E$2:$E$20871,WORKING!C30)</f>
        <v>7558264.0100000016</v>
      </c>
    </row>
    <row r="31" spans="1:29" x14ac:dyDescent="0.25">
      <c r="A31" s="2">
        <f>Results!$D$3</f>
        <v>33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0.67842535585870622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4.8192366210761811E-2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8.9943237593696664E-3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7.3872094240228663E-4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7.0224253504107166E-3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8.8195066563735047E-2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2.4671854090071076E-2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8.739484586187525E-5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0.10265423008100356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4.1018262297677612E-2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1.4758437840665366E-2</v>
      </c>
      <c r="AB31" s="2">
        <f>SUMIFS(PERSALDATA!$G$2:$G$20871,PERSALDATA!$A$2:$A$20871,WORKING!A31,PERSALDATA!$D$2:$D$20871,WORKING!B31,PERSALDATA!$E$2:$E$20871,WORKING!C31,PERSALDATA!$F$2:$F$20871,"S&amp;W: BASIC SALARY (RES)")</f>
        <v>6</v>
      </c>
      <c r="AC31" s="2">
        <f>SUMIFS(PERSALDATA!$H$2:$H$20871,PERSALDATA!$A$2:$A$20871,WORKING!A31,PERSALDATA!$D$2:$D$20871,WORKING!B31,PERSALDATA!$E$2:$E$20871,WORKING!C31)</f>
        <v>4669611.76</v>
      </c>
    </row>
    <row r="32" spans="1:29" x14ac:dyDescent="0.25">
      <c r="A32" s="2">
        <f>Results!$D$3</f>
        <v>33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0.62328481602217611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5.1107612062506046E-2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7.2966457600898999E-3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9.897694196392819E-3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8.3061557776052036E-2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1.282270594870848E-2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7.5846087043677488E-5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0.21094926006357806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1.5038620834527821E-3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1.4740947209347101E-2</v>
      </c>
      <c r="AB32" s="2">
        <f>SUMIFS(PERSALDATA!$G$2:$G$20871,PERSALDATA!$A$2:$A$20871,WORKING!A32,PERSALDATA!$D$2:$D$20871,WORKING!B32,PERSALDATA!$E$2:$E$20871,WORKING!C32,PERSALDATA!$F$2:$F$20871,"S&amp;W: BASIC SALARY (RES)")</f>
        <v>8</v>
      </c>
      <c r="AC32" s="2">
        <f>SUMIFS(PERSALDATA!$H$2:$H$20871,PERSALDATA!$A$2:$A$20871,WORKING!A32,PERSALDATA!$D$2:$D$20871,WORKING!B32,PERSALDATA!$E$2:$E$20871,WORKING!C32)</f>
        <v>7994084.1200000001</v>
      </c>
    </row>
    <row r="33" spans="1:29" x14ac:dyDescent="0.25">
      <c r="A33" s="2">
        <f>Results!$D$3</f>
        <v>33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0.59770164688734984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8.2176283162841432E-4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7.1538426269517133E-2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8.6217739711833621E-3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7.7701071483038189E-2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1.1066133605257808E-2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6.1386782922699936E-5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0.18645523335099137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3.488752525774854E-2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1.1145039560362615E-2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1.3796676194645653E-2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3229033.8499999996</v>
      </c>
    </row>
    <row r="34" spans="1:29" x14ac:dyDescent="0.25">
      <c r="A34" s="2">
        <f>Results!$D$3</f>
        <v>33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0.52308598620365865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6.8001036162615019E-2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4.6006428179128228E-5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0.27018667767159371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8.2502230759373893E-2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5.6178062774579658E-2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1.4999309903577314E-2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633607.11</v>
      </c>
    </row>
    <row r="35" spans="1:29" x14ac:dyDescent="0.25">
      <c r="A35" s="2">
        <f>Results!$D$3</f>
        <v>33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33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33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33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33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33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33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33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0.73217907180953556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6.1356697358112521E-2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5.7513423335202297E-2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3.4267484099306654E-2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9.5182401433470259E-2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5.6324998713858394E-3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3.1833400624659052E-4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1.3550088086740218E-2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7.2108724603914903E-2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6.9938878028137572E-2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6.8938878028137571E-2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6.6938878028137583E-2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1.3618511378388666E-2</v>
      </c>
      <c r="AB42" s="2">
        <f>SUMIFS(PERSALDATA!$G$2:$G$20871,PERSALDATA!$A$2:$A$20871,WORKING!A42,PERSALDATA!$D$2:$D$20871,WORKING!B42,PERSALDATA!$E$2:$E$20871,WORKING!C42,PERSALDATA!$F$2:$F$20871,"S&amp;W: BASIC SALARY (RES)")</f>
        <v>7</v>
      </c>
      <c r="AC42" s="2">
        <f>SUMIFS(PERSALDATA!$H$2:$H$20871,PERSALDATA!$A$2:$A$20871,WORKING!A42,PERSALDATA!$D$2:$D$20871,WORKING!B42,PERSALDATA!$E$2:$E$20871,WORKING!C42)</f>
        <v>1611797.6400000001</v>
      </c>
    </row>
    <row r="43" spans="1:29" x14ac:dyDescent="0.25">
      <c r="A43" s="2">
        <f>Results!$D$3</f>
        <v>33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0.72721200466640157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5.7429784049035593E-2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4.8248341399104375E-2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6.4517613681518676E-2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9.4536956076586312E-2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7.8026065681676207E-3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2.5269355918575842E-4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7.3236372645209311E-2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7.048528079123173E-2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6.9485280791231743E-2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6.7485280791231728E-2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1.3304720270402866E-2</v>
      </c>
      <c r="AB43" s="2">
        <f>SUMIFS(PERSALDATA!$G$2:$G$20871,PERSALDATA!$A$2:$A$20871,WORKING!A43,PERSALDATA!$D$2:$D$20871,WORKING!B43,PERSALDATA!$E$2:$E$20871,WORKING!C43,PERSALDATA!$F$2:$F$20871,"S&amp;W: BASIC SALARY (RES)")</f>
        <v>6</v>
      </c>
      <c r="AC43" s="2">
        <f>SUMIFS(PERSALDATA!$H$2:$H$20871,PERSALDATA!$A$2:$A$20871,WORKING!A43,PERSALDATA!$D$2:$D$20871,WORKING!B43,PERSALDATA!$E$2:$E$20871,WORKING!C43)</f>
        <v>1753428.1500000001</v>
      </c>
    </row>
    <row r="44" spans="1:29" x14ac:dyDescent="0.25">
      <c r="A44" s="2">
        <f>Results!$D$3</f>
        <v>33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0.72894382119967538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6.5220373085678088E-2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3.6446767963174913E-2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5.5326556422507112E-2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9.4762164862826667E-2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1.9106507906479577E-2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1.9380855965824269E-4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7.4004617424713801E-2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7.0465430666705867E-2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6.9465430666705852E-2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6.7465430666705864E-2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1.3620493005819894E-2</v>
      </c>
      <c r="AB44" s="2">
        <f>SUMIFS(PERSALDATA!$G$2:$G$20871,PERSALDATA!$A$2:$A$20871,WORKING!A44,PERSALDATA!$D$2:$D$20871,WORKING!B44,PERSALDATA!$E$2:$E$20871,WORKING!C44,PERSALDATA!$F$2:$F$20871,"S&amp;W: BASIC SALARY (RES)")</f>
        <v>5</v>
      </c>
      <c r="AC44" s="2">
        <f>SUMIFS(PERSALDATA!$H$2:$H$20871,PERSALDATA!$A$2:$A$20871,WORKING!A44,PERSALDATA!$D$2:$D$20871,WORKING!B44,PERSALDATA!$E$2:$E$20871,WORKING!C44)</f>
        <v>1654467.69</v>
      </c>
    </row>
    <row r="45" spans="1:29" x14ac:dyDescent="0.25">
      <c r="A45" s="2">
        <f>Results!$D$3</f>
        <v>33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0.77789350056001616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6.428302064555097E-2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2.8488095518586408E-2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2.2988875651516423E-2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0.10112561090084764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5.0339759694774848E-3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1.8692075400490667E-4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7.4156748999708658E-2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7.0059952179586896E-2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6.9059952179586895E-2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6.7059952179586893E-2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1.4225041621138383E-2</v>
      </c>
      <c r="AB45" s="2">
        <f>SUMIFS(PERSALDATA!$G$2:$G$20871,PERSALDATA!$A$2:$A$20871,WORKING!A45,PERSALDATA!$D$2:$D$20871,WORKING!B45,PERSALDATA!$E$2:$E$20871,WORKING!C45,PERSALDATA!$F$2:$F$20871,"S&amp;W: BASIC SALARY (RES)")</f>
        <v>9</v>
      </c>
      <c r="AC45" s="2">
        <f>SUMIFS(PERSALDATA!$H$2:$H$20871,PERSALDATA!$A$2:$A$20871,WORKING!A45,PERSALDATA!$D$2:$D$20871,WORKING!B45,PERSALDATA!$E$2:$E$20871,WORKING!C45)</f>
        <v>3243460.06</v>
      </c>
    </row>
    <row r="46" spans="1:29" x14ac:dyDescent="0.25">
      <c r="A46" s="2">
        <f>Results!$D$3</f>
        <v>33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0.78176902882917954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6.8411566050961325E-2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1.8327879179278615E-2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2.9442615253641138E-2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0.10162957821022989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1.095913185796865E-4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3.0974115812980861E-4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7.5019277795925807E-2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7.0258360437011835E-2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6.9258360437011834E-2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6.7258360437011847E-2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1.4281798713727509E-2</v>
      </c>
      <c r="AB46" s="2">
        <f>SUMIFS(PERSALDATA!$G$2:$G$20871,PERSALDATA!$A$2:$A$20871,WORKING!A46,PERSALDATA!$D$2:$D$20871,WORKING!B46,PERSALDATA!$E$2:$E$20871,WORKING!C46,PERSALDATA!$F$2:$F$20871,"S&amp;W: BASIC SALARY (RES)")</f>
        <v>4</v>
      </c>
      <c r="AC46" s="2">
        <f>SUMIFS(PERSALDATA!$H$2:$H$20871,PERSALDATA!$A$2:$A$20871,WORKING!A46,PERSALDATA!$D$2:$D$20871,WORKING!B46,PERSALDATA!$E$2:$E$20871,WORKING!C46)</f>
        <v>1915115.2</v>
      </c>
    </row>
    <row r="47" spans="1:29" x14ac:dyDescent="0.25">
      <c r="A47" s="2">
        <f>Results!$D$3</f>
        <v>33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0.70325559593878983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4.8378759444875373E-2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5.9919423747733493E-2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1.6276938299895773E-2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9.1422866421601023E-2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7.798949772599542E-3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1.1889794773751989E-4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7.0316826556551248E-2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1.6920996919024848E-3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8.1964217831364671E-4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1.3855271100069497E-2</v>
      </c>
      <c r="AB47" s="2">
        <f>SUMIFS(PERSALDATA!$G$2:$G$20871,PERSALDATA!$A$2:$A$20871,WORKING!A47,PERSALDATA!$D$2:$D$20871,WORKING!B47,PERSALDATA!$E$2:$E$20871,WORKING!C47,PERSALDATA!$F$2:$F$20871,"S&amp;W: BASIC SALARY (RES)")</f>
        <v>19</v>
      </c>
      <c r="AC47" s="2">
        <f>SUMIFS(PERSALDATA!$H$2:$H$20871,PERSALDATA!$A$2:$A$20871,WORKING!A47,PERSALDATA!$D$2:$D$20871,WORKING!B47,PERSALDATA!$E$2:$E$20871,WORKING!C47)</f>
        <v>10836435.990000002</v>
      </c>
    </row>
    <row r="48" spans="1:29" x14ac:dyDescent="0.25">
      <c r="A48" s="2">
        <f>Results!$D$3</f>
        <v>33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0.71832434339372986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4.613939347447428E-2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1.12158373838808E-2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1.4495561686232301E-2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9.3381910685566241E-2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4.6825987134865524E-3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9.0582861683993833E-5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0.11166977180094596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1.4612970271023044E-2</v>
      </c>
      <c r="AB48" s="2">
        <f>SUMIFS(PERSALDATA!$G$2:$G$20871,PERSALDATA!$A$2:$A$20871,WORKING!A48,PERSALDATA!$D$2:$D$20871,WORKING!B48,PERSALDATA!$E$2:$E$20871,WORKING!C48,PERSALDATA!$F$2:$F$20871,"S&amp;W: BASIC SALARY (RES)")</f>
        <v>5</v>
      </c>
      <c r="AC48" s="2">
        <f>SUMIFS(PERSALDATA!$H$2:$H$20871,PERSALDATA!$A$2:$A$20871,WORKING!A48,PERSALDATA!$D$2:$D$20871,WORKING!B48,PERSALDATA!$E$2:$E$20871,WORKING!C48)</f>
        <v>3732935.7200000007</v>
      </c>
    </row>
    <row r="49" spans="1:29" x14ac:dyDescent="0.25">
      <c r="A49" s="2">
        <f>Results!$D$3</f>
        <v>33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0.65849313957152289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4.4826178550316287E-2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7.9805186273996416E-3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1.1800734611458261E-2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8.5603870640952553E-2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7.7467703539122338E-3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7.5813564632091164E-5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0.18029936860125123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3.173605478554825E-3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1.4702143997947652E-2</v>
      </c>
      <c r="AB49" s="2">
        <f>SUMIFS(PERSALDATA!$G$2:$G$20871,PERSALDATA!$A$2:$A$20871,WORKING!A49,PERSALDATA!$D$2:$D$20871,WORKING!B49,PERSALDATA!$E$2:$E$20871,WORKING!C49,PERSALDATA!$F$2:$F$20871,"S&amp;W: BASIC SALARY (RES)")</f>
        <v>9</v>
      </c>
      <c r="AC49" s="2">
        <f>SUMIFS(PERSALDATA!$H$2:$H$20871,PERSALDATA!$A$2:$A$20871,WORKING!A49,PERSALDATA!$D$2:$D$20871,WORKING!B49,PERSALDATA!$E$2:$E$20871,WORKING!C49)</f>
        <v>8074412.5800000001</v>
      </c>
    </row>
    <row r="50" spans="1:29" x14ac:dyDescent="0.25">
      <c r="A50" s="2">
        <f>Results!$D$3</f>
        <v>33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0.62832649280938402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1.5933370920072087E-2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3.8562893666465952E-3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8.1682283201360131E-2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1.0922600539481202E-2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6.3056411406863032E-5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0.25921590675164913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1.49412098133292E-2</v>
      </c>
      <c r="AB50" s="2">
        <f>SUMIFS(PERSALDATA!$G$2:$G$20871,PERSALDATA!$A$2:$A$20871,WORKING!A50,PERSALDATA!$D$2:$D$20871,WORKING!B50,PERSALDATA!$E$2:$E$20871,WORKING!C50,PERSALDATA!$F$2:$F$20871,"S&amp;W: BASIC SALARY (RES)")</f>
        <v>3</v>
      </c>
      <c r="AC50" s="2">
        <f>SUMIFS(PERSALDATA!$H$2:$H$20871,PERSALDATA!$A$2:$A$20871,WORKING!A50,PERSALDATA!$D$2:$D$20871,WORKING!B50,PERSALDATA!$E$2:$E$20871,WORKING!C50)</f>
        <v>3420905.11</v>
      </c>
    </row>
    <row r="51" spans="1:29" x14ac:dyDescent="0.25">
      <c r="A51" s="2">
        <f>Results!$D$3</f>
        <v>33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0.58092753083254201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4.84106275693785E-2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0.15687432379443236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2.0332314592351009E-2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7.5520446088645124E-2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3.1736522883388345E-2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5.1093704341985506E-5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8.6147140534920869E-2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1.2341134018633123E-2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1369248.9299999997</v>
      </c>
    </row>
    <row r="52" spans="1:29" x14ac:dyDescent="0.25">
      <c r="A52" s="2">
        <f>Results!$D$3</f>
        <v>33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33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33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33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33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33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33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0.75221680506509347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5.7274953027995193E-2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7.6699422717533841E-2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1.5623956479497634E-2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0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9.7787389257041377E-2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3.9747345283841978E-4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7.017084387346742E-2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6.9233005772824666E-2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6.8233005772824651E-2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6.6233005772824663E-2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1.3843546557444414E-2</v>
      </c>
      <c r="AB58" s="2">
        <f>SUMIFS(PERSALDATA!$G$2:$G$20871,PERSALDATA!$A$2:$A$20871,WORKING!A58,PERSALDATA!$D$2:$D$20871,WORKING!B58,PERSALDATA!$E$2:$E$20871,WORKING!C58,PERSALDATA!$F$2:$F$20871,"S&amp;W: BASIC SALARY (RES)")</f>
        <v>2</v>
      </c>
      <c r="AC58" s="2">
        <f>SUMIFS(PERSALDATA!$H$2:$H$20871,PERSALDATA!$A$2:$A$20871,WORKING!A58,PERSALDATA!$D$2:$D$20871,WORKING!B58,PERSALDATA!$E$2:$E$20871,WORKING!C58)</f>
        <v>352023.51</v>
      </c>
    </row>
    <row r="59" spans="1:29" x14ac:dyDescent="0.25">
      <c r="A59" s="2">
        <f>Results!$D$3</f>
        <v>33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0.71342975000906905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5.9188240440165997E-2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5.4775807957808717E-2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6.4076786082636214E-2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9.2819174068319493E-2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1.5405627087746331E-2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3.0461435425425845E-4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7.2734113600363443E-2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7.0413393711661457E-2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6.941339371166147E-2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6.7413393711661482E-2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1.3212641874079513E-2</v>
      </c>
      <c r="AB59" s="2">
        <f>SUMIFS(PERSALDATA!$G$2:$G$20871,PERSALDATA!$A$2:$A$20871,WORKING!A59,PERSALDATA!$D$2:$D$20871,WORKING!B59,PERSALDATA!$E$2:$E$20871,WORKING!C59,PERSALDATA!$F$2:$F$20871,"S&amp;W: BASIC SALARY (RES)")</f>
        <v>8</v>
      </c>
      <c r="AC59" s="2">
        <f>SUMIFS(PERSALDATA!$H$2:$H$20871,PERSALDATA!$A$2:$A$20871,WORKING!A59,PERSALDATA!$D$2:$D$20871,WORKING!B59,PERSALDATA!$E$2:$E$20871,WORKING!C59)</f>
        <v>1741644.7799999998</v>
      </c>
    </row>
    <row r="60" spans="1:29" x14ac:dyDescent="0.25">
      <c r="A60" s="2">
        <f>Results!$D$3</f>
        <v>33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0.72709582343929413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6.0434920467492166E-2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4.0946548995112977E-2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6.0062245871191203E-2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9.4672226179484925E-2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1.6540774032110381E-2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2.4746101531428893E-4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7.3728933718568104E-2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7.0491468198116747E-2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6.9491468198116746E-2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6.7491468198116758E-2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1.3481156161775724E-2</v>
      </c>
      <c r="AB60" s="2">
        <f>SUMIFS(PERSALDATA!$G$2:$G$20871,PERSALDATA!$A$2:$A$20871,WORKING!A60,PERSALDATA!$D$2:$D$20871,WORKING!B60,PERSALDATA!$E$2:$E$20871,WORKING!C60,PERSALDATA!$F$2:$F$20871,"S&amp;W: BASIC SALARY (RES)")</f>
        <v>13</v>
      </c>
      <c r="AC60" s="2">
        <f>SUMIFS(PERSALDATA!$H$2:$H$20871,PERSALDATA!$A$2:$A$20871,WORKING!A60,PERSALDATA!$D$2:$D$20871,WORKING!B60,PERSALDATA!$E$2:$E$20871,WORKING!C60)</f>
        <v>3934397.5</v>
      </c>
    </row>
    <row r="61" spans="1:29" x14ac:dyDescent="0.25">
      <c r="A61" s="2">
        <f>Results!$D$3</f>
        <v>33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0.73855081640459608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6.1472741777528768E-2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3.9341348179940672E-2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4.9219108872464605E-2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9.6029500550421337E-2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1.5182608606258183E-2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2.0387560879027035E-4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7.3699125062539006E-2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7.0344873151287568E-2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6.9344873151287567E-2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6.7344873151287565E-2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1.3668535010082066E-2</v>
      </c>
      <c r="AB61" s="2">
        <f>SUMIFS(PERSALDATA!$G$2:$G$20871,PERSALDATA!$A$2:$A$20871,WORKING!A61,PERSALDATA!$D$2:$D$20871,WORKING!B61,PERSALDATA!$E$2:$E$20871,WORKING!C61,PERSALDATA!$F$2:$F$20871,"S&amp;W: BASIC SALARY (RES)")</f>
        <v>13</v>
      </c>
      <c r="AC61" s="2">
        <f>SUMIFS(PERSALDATA!$H$2:$H$20871,PERSALDATA!$A$2:$A$20871,WORKING!A61,PERSALDATA!$D$2:$D$20871,WORKING!B61,PERSALDATA!$E$2:$E$20871,WORKING!C61)</f>
        <v>4460955.41</v>
      </c>
    </row>
    <row r="62" spans="1:29" x14ac:dyDescent="0.25">
      <c r="A62" s="2">
        <f>Results!$D$3</f>
        <v>33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0.74521278635972055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6.0424699206118995E-2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3.068342395160123E-2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1.4002441035952137E-3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3.9931443840992981E-2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9.6877223987136815E-2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2.0792301042411403E-2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1.7291379560137516E-4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3.4772419122680674E-3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1.0277218005531664E-3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7.4227099993452172E-2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7.0292137418098879E-2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6.9292137418098879E-2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6.7292137418098877E-2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1.3938183276177062E-2</v>
      </c>
      <c r="AB62" s="2">
        <f>SUMIFS(PERSALDATA!$G$2:$G$20871,PERSALDATA!$A$2:$A$20871,WORKING!A62,PERSALDATA!$D$2:$D$20871,WORKING!B62,PERSALDATA!$E$2:$E$20871,WORKING!C62,PERSALDATA!$F$2:$F$20871,"S&amp;W: BASIC SALARY (RES)")</f>
        <v>18</v>
      </c>
      <c r="AC62" s="2">
        <f>SUMIFS(PERSALDATA!$H$2:$H$20871,PERSALDATA!$A$2:$A$20871,WORKING!A62,PERSALDATA!$D$2:$D$20871,WORKING!B62,PERSALDATA!$E$2:$E$20871,WORKING!C62)</f>
        <v>7518717.6100000013</v>
      </c>
    </row>
    <row r="63" spans="1:29" x14ac:dyDescent="0.25">
      <c r="A63" s="2">
        <f>Results!$D$3</f>
        <v>33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0.74743351736054775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6.2517197877459893E-2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2.69112665572315E-2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2.3405160434040585E-3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3.7441379370789202E-2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9.7166031663769636E-2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2.605063096321689E-2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1.3946016358103082E-4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7.4478923052841456E-2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7.0292508024989514E-2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6.9292508024989527E-2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6.7292508024989525E-2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1.4032618408625974E-2</v>
      </c>
      <c r="AB63" s="2">
        <f>SUMIFS(PERSALDATA!$G$2:$G$20871,PERSALDATA!$A$2:$A$20871,WORKING!A63,PERSALDATA!$D$2:$D$20871,WORKING!B63,PERSALDATA!$E$2:$E$20871,WORKING!C63,PERSALDATA!$F$2:$F$20871,"S&amp;W: BASIC SALARY (RES)")</f>
        <v>3</v>
      </c>
      <c r="AC63" s="2">
        <f>SUMIFS(PERSALDATA!$H$2:$H$20871,PERSALDATA!$A$2:$A$20871,WORKING!A63,PERSALDATA!$D$2:$D$20871,WORKING!B63,PERSALDATA!$E$2:$E$20871,WORKING!C63)</f>
        <v>1504945.8900000001</v>
      </c>
    </row>
    <row r="64" spans="1:29" x14ac:dyDescent="0.25">
      <c r="A64" s="2">
        <f>Results!$D$3</f>
        <v>33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0.70482799840125132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5.019385249782176E-2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3.4679925040509776E-2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1.1536449439527573E-2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9.1627311725727162E-2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1.056461105383044E-2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1.156320401385286E-4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9.3935599528502625E-2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2.5186202726910174E-3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1.4305019902197364E-2</v>
      </c>
      <c r="AB64" s="2">
        <f>SUMIFS(PERSALDATA!$G$2:$G$20871,PERSALDATA!$A$2:$A$20871,WORKING!A64,PERSALDATA!$D$2:$D$20871,WORKING!B64,PERSALDATA!$E$2:$E$20871,WORKING!C64,PERSALDATA!$F$2:$F$20871,"S&amp;W: BASIC SALARY (RES)")</f>
        <v>10</v>
      </c>
      <c r="AC64" s="2">
        <f>SUMIFS(PERSALDATA!$H$2:$H$20871,PERSALDATA!$A$2:$A$20871,WORKING!A64,PERSALDATA!$D$2:$D$20871,WORKING!B64,PERSALDATA!$E$2:$E$20871,WORKING!C64)</f>
        <v>6503560.7699999986</v>
      </c>
    </row>
    <row r="65" spans="1:29" x14ac:dyDescent="0.25">
      <c r="A65" s="2">
        <f>Results!$D$3</f>
        <v>33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0.69712889252264798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6.2111033535167712E-2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1.479323567928325E-2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1.5300753788397665E-2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9.0626520001450148E-2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1.6004983470734428E-2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9.4465629731429299E-5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1.1154613334964697E-2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9.2785502037622841E-2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1.4547173173538814E-2</v>
      </c>
      <c r="AB65" s="2">
        <f>SUMIFS(PERSALDATA!$G$2:$G$20871,PERSALDATA!$A$2:$A$20871,WORKING!A65,PERSALDATA!$D$2:$D$20871,WORKING!B65,PERSALDATA!$E$2:$E$20871,WORKING!C65,PERSALDATA!$F$2:$F$20871,"S&amp;W: BASIC SALARY (RES)")</f>
        <v>22</v>
      </c>
      <c r="AC65" s="2">
        <f>SUMIFS(PERSALDATA!$H$2:$H$20871,PERSALDATA!$A$2:$A$20871,WORKING!A65,PERSALDATA!$D$2:$D$20871,WORKING!B65,PERSALDATA!$E$2:$E$20871,WORKING!C65)</f>
        <v>16354096.239999998</v>
      </c>
    </row>
    <row r="66" spans="1:29" x14ac:dyDescent="0.25">
      <c r="A66" s="2">
        <f>Results!$D$3</f>
        <v>33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0.62763157154531635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3.8322967291937571E-2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1.4078472145850203E-2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1.0077429545746646E-2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8.1591907912324138E-2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1.4162978332445628E-2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7.5535517408720416E-5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0.21405913770897078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1.4636528441864914E-2</v>
      </c>
      <c r="AB66" s="2">
        <f>SUMIFS(PERSALDATA!$G$2:$G$20871,PERSALDATA!$A$2:$A$20871,WORKING!A66,PERSALDATA!$D$2:$D$20871,WORKING!B66,PERSALDATA!$E$2:$E$20871,WORKING!C66,PERSALDATA!$F$2:$F$20871,"S&amp;W: BASIC SALARY (RES)")</f>
        <v>8</v>
      </c>
      <c r="AC66" s="2">
        <f>SUMIFS(PERSALDATA!$H$2:$H$20871,PERSALDATA!$A$2:$A$20871,WORKING!A66,PERSALDATA!$D$2:$D$20871,WORKING!B66,PERSALDATA!$E$2:$E$20871,WORKING!C66)</f>
        <v>7410818.3699999992</v>
      </c>
    </row>
    <row r="67" spans="1:29" x14ac:dyDescent="0.25">
      <c r="A67" s="2">
        <f>Results!$D$3</f>
        <v>33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0.62694244970942814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3.57609042556939E-2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1.5112182415196821E-2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8.1502386362729023E-2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1.0806584261630744E-2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6.1611205231187056E-5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0.22981388179009027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1.4772393095693582E-2</v>
      </c>
      <c r="AB67" s="2">
        <f>SUMIFS(PERSALDATA!$G$2:$G$20871,PERSALDATA!$A$2:$A$20871,WORKING!A67,PERSALDATA!$D$2:$D$20871,WORKING!B67,PERSALDATA!$E$2:$E$20871,WORKING!C67,PERSALDATA!$F$2:$F$20871,"S&amp;W: BASIC SALARY (RES)")</f>
        <v>3</v>
      </c>
      <c r="AC67" s="2">
        <f>SUMIFS(PERSALDATA!$H$2:$H$20871,PERSALDATA!$A$2:$A$20871,WORKING!A67,PERSALDATA!$D$2:$D$20871,WORKING!B67,PERSALDATA!$E$2:$E$20871,WORKING!C67)</f>
        <v>3406523.1999999997</v>
      </c>
    </row>
    <row r="68" spans="1:29" x14ac:dyDescent="0.25">
      <c r="A68" s="2">
        <f>Results!$D$3</f>
        <v>33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0.59996844305486352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4.999737025457196E-2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0.12140350067879717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1.7016221671224834E-2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7.7995760320875879E-2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5.2768389544277003E-5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0.13356593563012248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1.2922912638906506E-2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1325793.7299999997</v>
      </c>
    </row>
    <row r="69" spans="1:29" x14ac:dyDescent="0.25">
      <c r="A69" s="2">
        <f>Results!$D$3</f>
        <v>33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33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33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33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33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33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33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33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33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33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33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33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33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33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33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33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33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33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33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33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33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33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33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33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33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33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33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33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33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33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33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33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33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33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33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33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33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33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33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33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33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33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33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33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33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33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33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33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33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33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33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33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33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33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33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33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33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33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33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33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33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33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33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33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33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33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33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33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33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33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33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33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33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33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33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33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33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33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33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33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33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33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33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33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33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33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33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33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33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33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33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33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33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33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33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33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33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33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33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33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33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33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33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33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33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33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33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33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33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33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33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33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33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33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33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33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33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33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33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33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33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33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33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33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33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33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33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33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33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33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33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33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33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33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33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33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33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33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33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33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33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33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33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33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33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33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33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33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33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33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33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33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33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33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33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33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33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33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33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33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33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33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33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33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33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33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33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33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33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33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33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33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33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33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33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33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33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33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33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33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33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33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33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33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33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33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33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33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33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33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33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33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33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33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33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33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33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33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33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33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33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33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33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33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33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33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33</v>
      </c>
      <c r="E3" s="74" t="str">
        <f>INDEX(MAPs!$I$7:$J$54,MATCH(Results!$D$3,MAPs!$I$7:$I$54,0),2)</f>
        <v>Tourism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231.52212389380531</v>
      </c>
      <c r="N9" s="148">
        <f>IFERROR(SUMIFS('Employee Profile (2)'!C$4:C$50,'Employee Profile (2)'!$B$4:$B$50,Results!$D$3),"")</f>
        <v>0.44955752212389383</v>
      </c>
      <c r="O9" s="150" t="s">
        <v>620</v>
      </c>
      <c r="P9" s="143">
        <f>IFERROR(INDEX('Employee Profile (2)'!$AC$4:$AC$50,MATCH(Results!$D$3,'Employee Profile (2)'!$B$4:$B$50,0))*$Q9,"")</f>
        <v>370.98230088495575</v>
      </c>
      <c r="Q9" s="148">
        <f>IFERROR(SUMIFS('Employee Profile (2)'!J$4:J$50,'Employee Profile (2)'!$B$4:$B$50,Results!$D$3),"")</f>
        <v>0.72035398230088499</v>
      </c>
      <c r="R9" s="150" t="s">
        <v>627</v>
      </c>
      <c r="S9" s="144">
        <f>IFERROR(INDEX('Employee Profile (2)'!$AC$4:$AC$50,MATCH(Results!$D$3,'Employee Profile (2)'!$B$4:$B$50,0))*$T9,"")</f>
        <v>6.3805309734513269</v>
      </c>
      <c r="T9" s="147">
        <f>IFERROR(SUMIFS('Employee Profile (2)'!N$4:N$50,'Employee Profile (2)'!$B$4:$B$50,Results!$D$3),"")</f>
        <v>1.2389380530973451E-2</v>
      </c>
      <c r="U9" s="150" t="s">
        <v>632</v>
      </c>
      <c r="V9" s="144">
        <f>IFERROR(INDEX('Employee Profile (2)'!$AC$4:$AC$50,MATCH(Results!$D$3,'Employee Profile (2)'!$B$4:$B$50,0))*$W9,"")</f>
        <v>260.69026548672565</v>
      </c>
      <c r="W9" s="147">
        <f>IFERROR(SUMIFS('Employee Profile (2)'!S$4:S$50,'Employee Profile (2)'!$B$4:$B$50,Results!$D$3),"")</f>
        <v>0.50619469026548669</v>
      </c>
      <c r="X9" s="150" t="s">
        <v>635</v>
      </c>
      <c r="Y9" s="144">
        <f>IFERROR(INDEX('Employee Profile (2)'!$AC$4:$AC$50,MATCH(Results!$D$3,'Employee Profile (2)'!$B$4:$B$50,0))*$Z9,"")</f>
        <v>417.46902654867256</v>
      </c>
      <c r="Z9" s="147">
        <f>IFERROR(SUMIFS('Employee Profile (2)'!V$4:V$50,'Employee Profile (2)'!$B$4:$B$50,Results!$D$3),"")</f>
        <v>0.81061946902654869</v>
      </c>
      <c r="AA9" s="150" t="s">
        <v>675</v>
      </c>
      <c r="AB9" s="144">
        <f>IFERROR(SUMIFS('Employee Profile (2)'!$AD$4:$AD$50,'Employee Profile (2)'!$B$4:$B$50,Results!$D$3),"")</f>
        <v>268</v>
      </c>
      <c r="AC9" s="147">
        <f>IFERROR(SUMIFS('Employee Profile (2)'!$AE$4:$AE$50,'Employee Profile (2)'!$B$4:$B$50,Results!$D$3),"")</f>
        <v>0.52038834951456314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209.64601769911505</v>
      </c>
      <c r="N10" s="148">
        <f>IFERROR(SUMIFS('Employee Profile (2)'!D$4:D$50,'Employee Profile (2)'!$B$4:$B$50,Results!$D$3),"")</f>
        <v>0.40707964601769914</v>
      </c>
      <c r="O10" s="150" t="s">
        <v>621</v>
      </c>
      <c r="P10" s="143">
        <f>IFERROR(INDEX('Employee Profile (2)'!$AC$4:$AC$50,MATCH(Results!$D$3,'Employee Profile (2)'!$B$4:$B$50,0))*$Q10,"")</f>
        <v>113.93805309734513</v>
      </c>
      <c r="Q10" s="148">
        <f>IFERROR(SUMIFS('Employee Profile (2)'!K$4:K$50,'Employee Profile (2)'!$B$4:$B$50,Results!$D$3),"")</f>
        <v>0.22123893805309736</v>
      </c>
      <c r="R10" s="150" t="s">
        <v>628</v>
      </c>
      <c r="S10" s="144">
        <f>IFERROR(INDEX('Employee Profile (2)'!$AC$4:$AC$50,MATCH(Results!$D$3,'Employee Profile (2)'!$B$4:$B$50,0))*$T10,"")</f>
        <v>86.592920353982294</v>
      </c>
      <c r="T10" s="147">
        <f>IFERROR(SUMIFS('Employee Profile (2)'!O$4:O$50,'Employee Profile (2)'!$B$4:$B$50,Results!$D$3),"")</f>
        <v>0.16814159292035397</v>
      </c>
      <c r="U10" s="150" t="s">
        <v>633</v>
      </c>
      <c r="V10" s="144">
        <f>IFERROR(INDEX('Employee Profile (2)'!$AC$4:$AC$50,MATCH(Results!$D$3,'Employee Profile (2)'!$B$4:$B$50,0))*$W10,"")</f>
        <v>219.67256637168143</v>
      </c>
      <c r="W10" s="147">
        <f>IFERROR(SUMIFS('Employee Profile (2)'!T$4:T$50,'Employee Profile (2)'!$B$4:$B$50,Results!$D$3),"")</f>
        <v>0.42654867256637169</v>
      </c>
      <c r="X10" s="150" t="s">
        <v>636</v>
      </c>
      <c r="Y10" s="144">
        <f>IFERROR(INDEX('Employee Profile (2)'!$AC$4:$AC$50,MATCH(Results!$D$3,'Employee Profile (2)'!$B$4:$B$50,0))*$Z10,"")</f>
        <v>25.522123893805308</v>
      </c>
      <c r="Z10" s="147">
        <f>IFERROR(SUMIFS('Employee Profile (2)'!W$4:W$50,'Employee Profile (2)'!$B$4:$B$50,Results!$D$3),"")</f>
        <v>4.9557522123893805E-2</v>
      </c>
      <c r="AA10" s="150" t="s">
        <v>676</v>
      </c>
      <c r="AB10" s="144">
        <f>IFERROR(INDEX('Employee Profile (2)'!$AC$4:$AC$50,MATCH(Results!$D$3,'Employee Profile (2)'!$B$4:$B$50))-$AB$9,"")</f>
        <v>247</v>
      </c>
      <c r="AC10" s="147">
        <f>IFERROR(100%-$AC$9,"")</f>
        <v>0.47961165048543686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6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22.787610619469028</v>
      </c>
      <c r="N11" s="148">
        <f>IFERROR(SUMIFS('Employee Profile (2)'!E$4:E$50,'Employee Profile (2)'!$B$4:$B$50,Results!$D$3),"")</f>
        <v>4.4247787610619468E-2</v>
      </c>
      <c r="O11" s="150" t="s">
        <v>622</v>
      </c>
      <c r="P11" s="143">
        <f>IFERROR(INDEX('Employee Profile (2)'!$AC$4:$AC$50,MATCH(Results!$D$3,'Employee Profile (2)'!$B$4:$B$50,0))*$Q11,"")</f>
        <v>23.699115044247787</v>
      </c>
      <c r="Q11" s="148">
        <f>IFERROR(SUMIFS('Employee Profile (2)'!L$4:L$50,'Employee Profile (2)'!$B$4:$B$50,Results!$D$3),"")</f>
        <v>4.6017699115044247E-2</v>
      </c>
      <c r="R11" s="150" t="s">
        <v>629</v>
      </c>
      <c r="S11" s="144">
        <f>IFERROR(INDEX('Employee Profile (2)'!$AC$4:$AC$50,MATCH(Results!$D$3,'Employee Profile (2)'!$B$4:$B$50,0))*$T11,"")</f>
        <v>283.47787610619469</v>
      </c>
      <c r="T11" s="147">
        <f>IFERROR(SUMIFS('Employee Profile (2)'!P$4:P$50,'Employee Profile (2)'!$B$4:$B$50,Results!$D$3),"")</f>
        <v>0.55044247787610623</v>
      </c>
      <c r="U11" s="150" t="s">
        <v>53</v>
      </c>
      <c r="V11" s="144">
        <f>IFERROR(INDEX('Employee Profile (2)'!$AC$4:$AC$50,MATCH(Results!$D$3,'Employee Profile (2)'!$B$4:$B$50,0))*$W11,"")</f>
        <v>34.637168141592923</v>
      </c>
      <c r="W11" s="147">
        <f>IFERROR(SUMIFS('Employee Profile (2)'!U$4:U$50,'Employee Profile (2)'!$B$4:$B$50,Results!$D$3),"")</f>
        <v>6.7256637168141592E-2</v>
      </c>
      <c r="X11" s="150" t="s">
        <v>637</v>
      </c>
      <c r="Y11" s="144">
        <f>IFERROR(INDEX('Employee Profile (2)'!$AC$4:$AC$50,MATCH(Results!$D$3,'Employee Profile (2)'!$B$4:$B$50,0))*$Z11,"")</f>
        <v>15.495575221238937</v>
      </c>
      <c r="Z11" s="147">
        <f>IFERROR(SUMIFS('Employee Profile (2)'!X$4:X$50,'Employee Profile (2)'!$B$4:$B$50,Results!$D$3),"")</f>
        <v>3.0088495575221239E-2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10.938053097345133</v>
      </c>
      <c r="N12" s="148">
        <f>IFERROR(SUMIFS('Employee Profile (2)'!F$4:F$50,'Employee Profile (2)'!$B$4:$B$50,Results!$D$3),"")</f>
        <v>2.1238938053097345E-2</v>
      </c>
      <c r="O12" s="150" t="s">
        <v>623</v>
      </c>
      <c r="P12" s="143">
        <f>IFERROR(INDEX('Employee Profile (2)'!$AC$4:$AC$50,MATCH(Results!$D$3,'Employee Profile (2)'!$B$4:$B$50,0))*$Q12,"")</f>
        <v>6.3805309734513269</v>
      </c>
      <c r="Q12" s="148">
        <f>IFERROR(SUMIFS('Employee Profile (2)'!M$4:M$50,'Employee Profile (2)'!$B$4:$B$50,Results!$D$3),"")</f>
        <v>1.2389380530973451E-2</v>
      </c>
      <c r="R12" s="150" t="s">
        <v>630</v>
      </c>
      <c r="S12" s="144">
        <f>IFERROR(INDEX('Employee Profile (2)'!$AC$4:$AC$50,MATCH(Results!$D$3,'Employee Profile (2)'!$B$4:$B$50,0))*$T12,"")</f>
        <v>30.079646017699115</v>
      </c>
      <c r="T12" s="147">
        <f>IFERROR(SUMIFS('Employee Profile (2)'!Q$4:Q$50,'Employee Profile (2)'!$B$4:$B$50,Results!$D$3),"")</f>
        <v>5.8407079646017698E-2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21.876106194690266</v>
      </c>
      <c r="Z12" s="147">
        <f>IFERROR(SUMIFS('Employee Profile (2)'!Y$4:Y$50,'Employee Profile (2)'!$B$4:$B$50,Results!$D$3),"")</f>
        <v>4.247787610619469E-2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3</v>
      </c>
      <c r="I13" s="158">
        <v>0</v>
      </c>
      <c r="J13" s="158">
        <v>9</v>
      </c>
      <c r="L13" s="150" t="s">
        <v>660</v>
      </c>
      <c r="M13" s="143">
        <f>IFERROR(INDEX('Employee Profile (2)'!$AC$4:$AC$50,MATCH(Results!$D$3,'Employee Profile (2)'!$B$4:$B$50,0))*$N13,"")</f>
        <v>4.5575221238938051</v>
      </c>
      <c r="N13" s="148">
        <f>IFERROR(SUMIFS('Employee Profile (2)'!G$4:G$50,'Employee Profile (2)'!$B$4:$B$50,Results!$D$3),"")</f>
        <v>8.8495575221238937E-3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108.46902654867257</v>
      </c>
      <c r="T13" s="147">
        <f>IFERROR(SUMIFS('Employee Profile (2)'!R$4:R$50,'Employee Profile (2)'!$B$4:$B$50,Results!$D$3),"")</f>
        <v>0.21061946902654868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34.637168141592923</v>
      </c>
      <c r="Z13" s="147">
        <f>IFERROR(SUMIFS('Employee Profile (2)'!Z$4:Z$50,'Employee Profile (2)'!$B$4:$B$50,Results!$D$3),"")</f>
        <v>6.7256637168141592E-2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0.91150442477876104</v>
      </c>
      <c r="N14" s="148">
        <f>IFERROR(SUMIFS('Employee Profile (2)'!H$4:H$50,'Employee Profile (2)'!$B$4:$B$50,Results!$D$3),"")</f>
        <v>1.7699115044247787E-3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6</v>
      </c>
      <c r="H15" s="112">
        <f t="shared" ref="H15:J15" si="0">SUM(H9:H14)</f>
        <v>3</v>
      </c>
      <c r="I15" s="112">
        <f t="shared" si="0"/>
        <v>0</v>
      </c>
      <c r="J15" s="112">
        <f t="shared" si="0"/>
        <v>9</v>
      </c>
      <c r="L15" s="150" t="s">
        <v>53</v>
      </c>
      <c r="M15" s="143">
        <f>IFERROR(INDEX('Employee Profile (2)'!$AC$4:$AC$50,MATCH(Results!$D$3,'Employee Profile (2)'!$B$4:$B$50,0))*$N15,"")</f>
        <v>34.637168141592923</v>
      </c>
      <c r="N15" s="148">
        <f>IFERROR(SUMIFS('Employee Profile (2)'!I$4:I$50,'Employee Profile (2)'!$B$4:$B$50,Results!$D$3),"")</f>
        <v>6.7256637168141592E-2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6</v>
      </c>
      <c r="H16" s="82">
        <f>SUMIFS($W$64:$W$509,$C$64:$C$509,"Total")</f>
        <v>3</v>
      </c>
      <c r="I16" s="82">
        <f>SUMIFS($AE$64:$AE$509,$C$64:$C$509,"Total")</f>
        <v>0</v>
      </c>
      <c r="J16" s="82">
        <f>SUMIFS($AM$64:$AM$509,$C$64:$C$509,"Total")</f>
        <v>9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265</v>
      </c>
      <c r="G29" s="87">
        <f t="shared" ref="G29:G44" si="4">SUMIFS($K$64:$K$509,$A$64:$A$509,B29,$C$64:$C$509,"Total")</f>
        <v>431.31963988679252</v>
      </c>
      <c r="H29" s="83">
        <f t="shared" ref="H29:H44" si="5">SUMIFS($J$64:$J$509,$A$64:$A$509,B29,$C$64:$C$509,"Total")</f>
        <v>114299.70457000002</v>
      </c>
      <c r="I29" s="21">
        <f t="shared" ref="I29:I44" si="6">-SUMIFS($O$64:$O$509,$A$64:$A$509,$B29,$C$64:$C$509,"Total")+SUMIFS($N$64:$N$509,$A$64:$A$509,$B29,$C$64:$C$509,"Total")</f>
        <v>7</v>
      </c>
      <c r="J29" s="88">
        <f t="shared" ref="J29:J44" si="7">SUMIFS($P$64:$P$509,$A$64:$A$509,$B29,$C$64:$C$509,"Total")</f>
        <v>272</v>
      </c>
      <c r="K29" s="88">
        <f t="shared" ref="K29:K44" si="8">SUMIFS($M$64:$M$509,$A$64:$A$509,$B29,$C$64:$C$509,"Total")</f>
        <v>461.46170531243604</v>
      </c>
      <c r="L29" s="88">
        <f t="shared" ref="L29:L44" si="9">SUMIFS($R$64:$R$509,$A$64:$A$509,$B29,$C$64:$C$509,"Total")+SUMIFS($Q$64:$Q$509,$A$64:$A$509,$B29,$C$64:$C$509,"Total")</f>
        <v>3444.9807903966748</v>
      </c>
      <c r="M29" s="88">
        <f t="shared" ref="M29:M44" si="10">SUMIFS($S$64:$S$509,$A$64:$A$509,$B29,$C$64:$C$509,"Total")</f>
        <v>125517.5838449826</v>
      </c>
      <c r="N29" s="88">
        <f t="shared" ref="N29:N44" si="11">SUMIFS($S$64:$S$509,$A$64:$A$509,$B29,$C$64:$C$509,"Compensation Budget")</f>
        <v>130408</v>
      </c>
      <c r="O29" s="89">
        <f t="shared" ref="O29:O44" si="12">SUMIFS($S$64:$S$509,$A$64:$A$509,$B29,$C$64:$C$509,"Under/(Over)")</f>
        <v>4890.4161550174031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272</v>
      </c>
      <c r="R29" s="88">
        <f t="shared" ref="R29:R44" si="15">SUMIFS($U$64:$U$509,$A$64:$A$509,$B29,$C$64:$C$509,"Total")</f>
        <v>499.57007214015226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135883.05962212142</v>
      </c>
      <c r="U29" s="88">
        <f t="shared" ref="U29:U44" si="18">SUMIFS($AA$64:$AA$509,$A$64:$A$509,$B29,$C$64:$C$509,"Compensation Budget")</f>
        <v>133001</v>
      </c>
      <c r="V29" s="89">
        <f t="shared" ref="V29:V44" si="19">SUMIFS($AA$64:$AA$509,$A$64:$A$509,$B29,$C$64:$C$509,"Under/(Over)")</f>
        <v>-2882.0596221214219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272</v>
      </c>
      <c r="Y29" s="88">
        <f t="shared" ref="Y29:Y44" si="22">SUMIFS($AC$64:$AC$509,$A$64:$A$509,$B29,$C$64:$C$509,"Total")</f>
        <v>540.32730001969344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146969.02560535661</v>
      </c>
      <c r="AB29" s="88">
        <f t="shared" ref="AB29:AB44" si="25">SUMIFS($AI$64:$AI$509,$A$64:$A$509,$B29,$C$64:$C$509,"Compensation Budget")</f>
        <v>138279</v>
      </c>
      <c r="AC29" s="89">
        <f t="shared" ref="AC29:AC44" si="26">SUMIFS($AI$64:$AI$509,$A$64:$A$509,$B29,$C$64:$C$509,"Under/(Over)")</f>
        <v>-8690.0256053566118</v>
      </c>
      <c r="AD29" s="21">
        <f t="shared" ref="AD29:AD44" si="27">-SUMIFS($AM$64:$AM$509,$A$64:$A$509,$B29,$C$64:$C$509,"Total")+SUMIFS($AL$64:$AL$509,$A$64:$A$509,$B29,$C$64:$C$509,"Total")</f>
        <v>-9</v>
      </c>
      <c r="AE29" s="88">
        <f t="shared" ref="AE29:AE44" si="28">SUMIFS($AN$64:$AN$509,$A$64:$A$509,$B29,$C$64:$C$509,"Total")</f>
        <v>263</v>
      </c>
      <c r="AF29" s="88">
        <f t="shared" ref="AF29:AF44" si="29">SUMIFS($AK$64:$AK$509,$A$64:$A$509,$B29,$C$64:$C$509,"Total")</f>
        <v>600.40699439115963</v>
      </c>
      <c r="AG29" s="88">
        <f t="shared" ref="AG29:AG44" si="30">SUMIFS($AP$64:$AP$509,$A$64:$A$509,$B29,$C$64:$C$509,"Total")+SUMIFS($AO$64:$AO$509,$A$64:$A$509,$B29,$C$64:$C$509,"Total")</f>
        <v>-756.77949266128564</v>
      </c>
      <c r="AH29" s="88">
        <f t="shared" ref="AH29:AH44" si="31">SUMIFS($AQ$64:$AQ$509,$A$64:$A$509,$B29,$C$64:$C$509,"Total")</f>
        <v>157907.03952487497</v>
      </c>
      <c r="AI29" s="88">
        <f t="shared" ref="AI29:AI44" si="32">SUMIFS($AQ$64:$AQ$509,$A$64:$A$509,$B29,$C$64:$C$509,"Compensation Budget")</f>
        <v>148788.204</v>
      </c>
      <c r="AJ29" s="89">
        <f t="shared" ref="AJ29:AJ44" si="33">SUMIFS($AQ$64:$AQ$509,$A$64:$A$509,$B29,$C$64:$C$509,"Under/(Over)")</f>
        <v>-9118.8355248749722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Tourism Policy and Planning</v>
      </c>
      <c r="D30" s="222">
        <f t="shared" si="2"/>
        <v>0</v>
      </c>
      <c r="E30" s="223">
        <f t="shared" si="2"/>
        <v>0</v>
      </c>
      <c r="F30" s="80">
        <f t="shared" si="3"/>
        <v>76</v>
      </c>
      <c r="G30" s="155">
        <f t="shared" si="4"/>
        <v>533.26627618421037</v>
      </c>
      <c r="H30" s="155">
        <f t="shared" si="5"/>
        <v>40528.23698999999</v>
      </c>
      <c r="I30" s="23">
        <f t="shared" si="6"/>
        <v>2</v>
      </c>
      <c r="J30" s="22">
        <f t="shared" si="7"/>
        <v>78</v>
      </c>
      <c r="K30" s="22">
        <f t="shared" si="8"/>
        <v>567.65712723969898</v>
      </c>
      <c r="L30" s="22">
        <f t="shared" si="9"/>
        <v>703.53418218298168</v>
      </c>
      <c r="M30" s="22">
        <f t="shared" si="10"/>
        <v>44277.255924696525</v>
      </c>
      <c r="N30" s="22">
        <f t="shared" si="11"/>
        <v>42647</v>
      </c>
      <c r="O30" s="91">
        <f t="shared" si="12"/>
        <v>-1630.2559246965247</v>
      </c>
      <c r="P30" s="23">
        <f t="shared" si="13"/>
        <v>-3</v>
      </c>
      <c r="Q30" s="22">
        <f t="shared" si="14"/>
        <v>75</v>
      </c>
      <c r="R30" s="22">
        <f t="shared" si="15"/>
        <v>624.33845311796927</v>
      </c>
      <c r="S30" s="22">
        <f t="shared" si="16"/>
        <v>-1080.9004711045613</v>
      </c>
      <c r="T30" s="22">
        <f t="shared" si="17"/>
        <v>46825.383983847692</v>
      </c>
      <c r="U30" s="22">
        <f t="shared" si="18"/>
        <v>43536</v>
      </c>
      <c r="V30" s="91">
        <f t="shared" si="19"/>
        <v>-3289.3839838476924</v>
      </c>
      <c r="W30" s="23">
        <f t="shared" si="20"/>
        <v>0</v>
      </c>
      <c r="X30" s="22">
        <f t="shared" si="21"/>
        <v>75</v>
      </c>
      <c r="Y30" s="22">
        <f t="shared" si="22"/>
        <v>674.84251119347459</v>
      </c>
      <c r="Z30" s="22">
        <f t="shared" si="23"/>
        <v>0</v>
      </c>
      <c r="AA30" s="22">
        <f t="shared" si="24"/>
        <v>50613.188339510598</v>
      </c>
      <c r="AB30" s="22">
        <f t="shared" si="25"/>
        <v>45263</v>
      </c>
      <c r="AC30" s="91">
        <f t="shared" si="26"/>
        <v>-5350.1883395105979</v>
      </c>
      <c r="AD30" s="23">
        <f t="shared" si="27"/>
        <v>0</v>
      </c>
      <c r="AE30" s="22">
        <f t="shared" si="28"/>
        <v>75</v>
      </c>
      <c r="AF30" s="22">
        <f t="shared" si="29"/>
        <v>728.07703200927222</v>
      </c>
      <c r="AG30" s="22">
        <f t="shared" si="30"/>
        <v>0</v>
      </c>
      <c r="AH30" s="22">
        <f t="shared" si="31"/>
        <v>54605.777400695413</v>
      </c>
      <c r="AI30" s="22">
        <f t="shared" si="32"/>
        <v>48702.988000000005</v>
      </c>
      <c r="AJ30" s="91">
        <f t="shared" si="33"/>
        <v>-5902.7894006954084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Destination Development</v>
      </c>
      <c r="D31" s="222">
        <f t="shared" si="2"/>
        <v>0</v>
      </c>
      <c r="E31" s="223">
        <f t="shared" si="2"/>
        <v>0</v>
      </c>
      <c r="F31" s="80">
        <f t="shared" si="3"/>
        <v>68</v>
      </c>
      <c r="G31" s="155">
        <f t="shared" si="4"/>
        <v>548.12069220588239</v>
      </c>
      <c r="H31" s="155">
        <f t="shared" si="5"/>
        <v>37272.207070000004</v>
      </c>
      <c r="I31" s="23">
        <f t="shared" si="6"/>
        <v>-1</v>
      </c>
      <c r="J31" s="22">
        <f t="shared" si="7"/>
        <v>67</v>
      </c>
      <c r="K31" s="22">
        <f t="shared" si="8"/>
        <v>589.04577924962155</v>
      </c>
      <c r="L31" s="22">
        <f t="shared" si="9"/>
        <v>-622.20777457818372</v>
      </c>
      <c r="M31" s="22">
        <f t="shared" si="10"/>
        <v>39466.067209724642</v>
      </c>
      <c r="N31" s="22">
        <f t="shared" si="11"/>
        <v>38606</v>
      </c>
      <c r="O31" s="91">
        <f t="shared" si="12"/>
        <v>-860.06720972464245</v>
      </c>
      <c r="P31" s="23">
        <f t="shared" si="13"/>
        <v>0</v>
      </c>
      <c r="Q31" s="22">
        <f t="shared" si="14"/>
        <v>67</v>
      </c>
      <c r="R31" s="22">
        <f t="shared" si="15"/>
        <v>637.20178744157522</v>
      </c>
      <c r="S31" s="22">
        <f t="shared" si="16"/>
        <v>0</v>
      </c>
      <c r="T31" s="22">
        <f t="shared" si="17"/>
        <v>42692.519758585542</v>
      </c>
      <c r="U31" s="22">
        <f t="shared" si="18"/>
        <v>39431</v>
      </c>
      <c r="V31" s="91">
        <f t="shared" si="19"/>
        <v>-3261.5197585855421</v>
      </c>
      <c r="W31" s="23">
        <f t="shared" si="20"/>
        <v>0</v>
      </c>
      <c r="X31" s="22">
        <f t="shared" si="21"/>
        <v>67</v>
      </c>
      <c r="Y31" s="22">
        <f t="shared" si="22"/>
        <v>688.66101475923938</v>
      </c>
      <c r="Z31" s="22">
        <f t="shared" si="23"/>
        <v>0</v>
      </c>
      <c r="AA31" s="22">
        <f t="shared" si="24"/>
        <v>46140.287988869037</v>
      </c>
      <c r="AB31" s="22">
        <f t="shared" si="25"/>
        <v>40994</v>
      </c>
      <c r="AC31" s="91">
        <f t="shared" si="26"/>
        <v>-5146.2879888690368</v>
      </c>
      <c r="AD31" s="23">
        <f t="shared" si="27"/>
        <v>0</v>
      </c>
      <c r="AE31" s="22">
        <f t="shared" si="28"/>
        <v>67</v>
      </c>
      <c r="AF31" s="22">
        <f t="shared" si="29"/>
        <v>742.89272051411547</v>
      </c>
      <c r="AG31" s="22">
        <f t="shared" si="30"/>
        <v>0</v>
      </c>
      <c r="AH31" s="22">
        <f t="shared" si="31"/>
        <v>49773.812274445736</v>
      </c>
      <c r="AI31" s="22">
        <f t="shared" si="32"/>
        <v>44109.544000000002</v>
      </c>
      <c r="AJ31" s="91">
        <f t="shared" si="33"/>
        <v>-5664.2682744457343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Enterprise and Visitor Support Services</v>
      </c>
      <c r="D32" s="222">
        <f t="shared" si="2"/>
        <v>0</v>
      </c>
      <c r="E32" s="223">
        <f t="shared" si="2"/>
        <v>0</v>
      </c>
      <c r="F32" s="80">
        <f t="shared" si="3"/>
        <v>100</v>
      </c>
      <c r="G32" s="155">
        <f t="shared" si="4"/>
        <v>537.70477009999991</v>
      </c>
      <c r="H32" s="155">
        <f t="shared" si="5"/>
        <v>53770.477009999995</v>
      </c>
      <c r="I32" s="23">
        <f t="shared" si="6"/>
        <v>0</v>
      </c>
      <c r="J32" s="22">
        <f t="shared" si="7"/>
        <v>100</v>
      </c>
      <c r="K32" s="22">
        <f t="shared" si="8"/>
        <v>577.25644872091277</v>
      </c>
      <c r="L32" s="22">
        <f t="shared" si="9"/>
        <v>-380.45299219678657</v>
      </c>
      <c r="M32" s="22">
        <f t="shared" si="10"/>
        <v>57725.644872091281</v>
      </c>
      <c r="N32" s="22">
        <f t="shared" si="11"/>
        <v>53880</v>
      </c>
      <c r="O32" s="91">
        <f t="shared" si="12"/>
        <v>-3845.6448720912813</v>
      </c>
      <c r="P32" s="23">
        <f t="shared" si="13"/>
        <v>0</v>
      </c>
      <c r="Q32" s="22">
        <f t="shared" si="14"/>
        <v>100</v>
      </c>
      <c r="R32" s="22">
        <f t="shared" si="15"/>
        <v>625.21752905069957</v>
      </c>
      <c r="S32" s="22">
        <f t="shared" si="16"/>
        <v>0</v>
      </c>
      <c r="T32" s="22">
        <f t="shared" si="17"/>
        <v>62521.752905069952</v>
      </c>
      <c r="U32" s="22">
        <f t="shared" si="18"/>
        <v>58928</v>
      </c>
      <c r="V32" s="91">
        <f t="shared" si="19"/>
        <v>-3593.7529050699522</v>
      </c>
      <c r="W32" s="23">
        <f t="shared" si="20"/>
        <v>0</v>
      </c>
      <c r="X32" s="22">
        <f t="shared" si="21"/>
        <v>100</v>
      </c>
      <c r="Y32" s="22">
        <f t="shared" si="22"/>
        <v>676.53917012504428</v>
      </c>
      <c r="Z32" s="22">
        <f t="shared" si="23"/>
        <v>0</v>
      </c>
      <c r="AA32" s="22">
        <f t="shared" si="24"/>
        <v>67653.917012504433</v>
      </c>
      <c r="AB32" s="22">
        <f t="shared" si="25"/>
        <v>61265</v>
      </c>
      <c r="AC32" s="91">
        <f t="shared" si="26"/>
        <v>-6388.9170125044329</v>
      </c>
      <c r="AD32" s="23">
        <f t="shared" si="27"/>
        <v>0</v>
      </c>
      <c r="AE32" s="22">
        <f t="shared" si="28"/>
        <v>100</v>
      </c>
      <c r="AF32" s="22">
        <f t="shared" si="29"/>
        <v>730.71190702682873</v>
      </c>
      <c r="AG32" s="22">
        <f t="shared" si="30"/>
        <v>0</v>
      </c>
      <c r="AH32" s="22">
        <f t="shared" si="31"/>
        <v>73071.19070268287</v>
      </c>
      <c r="AI32" s="22">
        <f t="shared" si="32"/>
        <v>65921.14</v>
      </c>
      <c r="AJ32" s="91">
        <f t="shared" si="33"/>
        <v>-7150.0507026828709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509</v>
      </c>
      <c r="G45" s="92">
        <f>IFERROR(H45/F45,0)</f>
        <v>483.04641579567783</v>
      </c>
      <c r="H45" s="92">
        <f>SUM(H29:H38)</f>
        <v>245870.62564000001</v>
      </c>
      <c r="I45" s="25">
        <f>SUM(I29:I38)</f>
        <v>8</v>
      </c>
      <c r="J45" s="92">
        <f>SUM(J29:J38)</f>
        <v>517</v>
      </c>
      <c r="K45" s="92">
        <f>IFERROR(M45/J45,0)</f>
        <v>516.41499391004845</v>
      </c>
      <c r="L45" s="92">
        <f t="shared" ref="L45:Q45" si="34">SUM(L29:L38)</f>
        <v>3145.8542058046864</v>
      </c>
      <c r="M45" s="92">
        <f t="shared" si="34"/>
        <v>266986.55185149505</v>
      </c>
      <c r="N45" s="92">
        <f>INDEX('ENE17'!$C$2:$C$48,MATCH(Results!$D$3,'ENE17'!$A$2:$A$48,0))</f>
        <v>269541</v>
      </c>
      <c r="O45" s="129">
        <f>N45-M45</f>
        <v>2554.4481485049473</v>
      </c>
      <c r="P45" s="25">
        <f t="shared" si="34"/>
        <v>-3</v>
      </c>
      <c r="Q45" s="24">
        <f t="shared" si="34"/>
        <v>514</v>
      </c>
      <c r="R45" s="92">
        <f>IFERROR(T45/Q45,0)</f>
        <v>560.16092659460037</v>
      </c>
      <c r="S45" s="24">
        <f>SUM(S29:S38)</f>
        <v>-1080.9004711045613</v>
      </c>
      <c r="T45" s="24">
        <f>SUM(T29:T38)</f>
        <v>287922.71626962459</v>
      </c>
      <c r="U45" s="207">
        <f>INDEX('ENE17'!$D$2:$D$48,MATCH(Results!$D$3,'ENE17'!$A$2:$A$48,0))</f>
        <v>271872</v>
      </c>
      <c r="V45" s="24">
        <f>U45-T45</f>
        <v>-16050.716269624594</v>
      </c>
      <c r="W45" s="25">
        <f t="shared" ref="W45:X45" si="35">SUM(W29:W38)</f>
        <v>0</v>
      </c>
      <c r="X45" s="24">
        <f t="shared" si="35"/>
        <v>514</v>
      </c>
      <c r="Y45" s="92">
        <f>IFERROR(AA45/X45,0)</f>
        <v>605.79069833898961</v>
      </c>
      <c r="Z45" s="24">
        <f t="shared" ref="Z45:AA45" si="36">SUM(Z29:Z38)</f>
        <v>0</v>
      </c>
      <c r="AA45" s="24">
        <f t="shared" si="36"/>
        <v>311376.41894624068</v>
      </c>
      <c r="AB45" s="207">
        <f>INDEX('ENE17'!$E$2:$E$48,MATCH(Results!$D$3,'ENE17'!$A$2:$A$48,0))</f>
        <v>282598</v>
      </c>
      <c r="AC45" s="24">
        <f>AB45-AA45</f>
        <v>-28778.418946240679</v>
      </c>
      <c r="AD45" s="25">
        <f t="shared" ref="AD45:AE45" si="37">SUM(AD29:AD38)</f>
        <v>-9</v>
      </c>
      <c r="AE45" s="24">
        <f t="shared" si="37"/>
        <v>505</v>
      </c>
      <c r="AF45" s="92">
        <f>IFERROR(AH45/AE45,0)</f>
        <v>664.07489089643366</v>
      </c>
      <c r="AG45" s="24">
        <f t="shared" ref="AG45:AH45" si="38">SUM(AG29:AG38)</f>
        <v>-756.77949266128564</v>
      </c>
      <c r="AH45" s="24">
        <f t="shared" si="38"/>
        <v>335357.81990269898</v>
      </c>
      <c r="AI45" s="207">
        <f>INDEX('ENE17'!$F$2:$F$48,MATCH(Results!$D$3,'ENE17'!$A$2:$A$48,0))</f>
        <v>304142</v>
      </c>
      <c r="AJ45" s="24">
        <f>AI45-AH45</f>
        <v>-31215.819902698975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119</v>
      </c>
      <c r="G51" s="193">
        <f>IFERROR(H51/F51,"")</f>
        <v>209.71774168067228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24956.411260000001</v>
      </c>
      <c r="I51" s="97">
        <f>SUMIFS($N$64:$N$509,$B$64:$B$509,$B51)-SUMIFS($O$64:$O$509,$B$64:$B$509,$B51)</f>
        <v>3</v>
      </c>
      <c r="J51" s="80">
        <f>SUMIFS($P$64:$P$509,$B$64:$B$509,$B51)</f>
        <v>122</v>
      </c>
      <c r="K51" s="80">
        <f>IFERROR(M51/J51,0)</f>
        <v>217.50041869325901</v>
      </c>
      <c r="L51" s="80">
        <f>SUMIFS($R$64:$R$509,$B$64:$B$509,$B51)+SUMIFS($Q$64:$Q$509,$B$64:$B$509,$B51)</f>
        <v>605.5412406669443</v>
      </c>
      <c r="M51" s="98">
        <f>SUMIFS($S$64:$S$509,$B$64:$B$509,$B51)</f>
        <v>26535.051080577599</v>
      </c>
      <c r="N51" s="80">
        <f>SUMIFS($V$64:$V$509,$B$64:$B$509,$B51)-SUMIFS($W$64:$W$509,$B$64:$B$509,$B51)</f>
        <v>-1</v>
      </c>
      <c r="O51" s="80">
        <f>SUMIFS($X$64:$X$509,$B$64:$B$509,$B51)</f>
        <v>121</v>
      </c>
      <c r="P51" s="80">
        <f>IFERROR(R51/O51,0)</f>
        <v>235.52802292389219</v>
      </c>
      <c r="Q51" s="80">
        <f>SUMIFS($Z$64:$Z$509,$B$64:$B$509,$B51)+SUMIFS($Y$64:$Y$509,$B$64:$B$509,$B51)</f>
        <v>-280.00054955080981</v>
      </c>
      <c r="R51" s="80">
        <f>SUMIFS($AA$64:$AA$509,$B$64:$B$509,$B51)</f>
        <v>28498.890773790954</v>
      </c>
      <c r="S51" s="97">
        <f>SUMIFS($AD$64:$AD$509,$B$64:$B$509,$B51)-SUMIFS($AE$64:$AE$509,$B$64:$B$509,$B51)</f>
        <v>0</v>
      </c>
      <c r="T51" s="80">
        <f>SUMIFS($AF$64:$AF$509,$B$64:$B$509,$B51)</f>
        <v>121</v>
      </c>
      <c r="U51" s="80">
        <f>IFERROR(W51/T51,0)</f>
        <v>255.2044257401173</v>
      </c>
      <c r="V51" s="80">
        <f>SUMIFS($AH$64:$AH$509,$B$64:$B$509,$B51)+SUMIFS($AG$64:$AG$509,$B$64:$B$509,$B51)</f>
        <v>0</v>
      </c>
      <c r="W51" s="98">
        <f>SUMIFS($AI$64:$AI$509,$B$64:$B$509,$B51)</f>
        <v>30879.735514554195</v>
      </c>
      <c r="X51" s="80">
        <f>SUMIFS($AL$64:$AL$509,$B$64:$B$509,$B51)-SUMIFS($AM$64:$AM$509,$B$64:$B$509,$B51)</f>
        <v>-9</v>
      </c>
      <c r="Y51" s="80">
        <f>SUMIFS($AN$64:$AN$509,$B$64:$B$509,$B51)</f>
        <v>112</v>
      </c>
      <c r="Z51" s="80">
        <f>IFERROR(AB51/Y51,0)</f>
        <v>291.42958985778057</v>
      </c>
      <c r="AA51" s="80">
        <f>SUMIFS($AP$64:$AP$509,$B$64:$B$509,$B51)+SUMIFS($AO$64:$AO$509,$B$64:$B$509,$B51)</f>
        <v>-756.77949266128564</v>
      </c>
      <c r="AB51" s="98">
        <f>SUMIFS($AQ$64:$AQ$509,$B$64:$B$509,$B51)</f>
        <v>32640.114064071426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206</v>
      </c>
      <c r="G52" s="192">
        <f t="shared" ref="G52:G55" si="40">IFERROR(H52/F52,"")</f>
        <v>369.71803194174754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76161.914579999997</v>
      </c>
      <c r="I52" s="97">
        <f>SUMIFS($N$64:$N$509,$B$64:$B$509,$B52)-SUMIFS($O$64:$O$509,$B$64:$B$509,$B52)</f>
        <v>6</v>
      </c>
      <c r="J52" s="80">
        <f>SUMIFS($P$64:$P$509,$B$64:$B$509,$B52)</f>
        <v>212</v>
      </c>
      <c r="K52" s="80">
        <f t="shared" ref="K52:K56" si="41">IFERROR(M52/J52,0)</f>
        <v>403.24125568961654</v>
      </c>
      <c r="L52" s="80">
        <f>SUMIFS($R$64:$R$509,$B$64:$B$509,$B52)+SUMIFS($Q$64:$Q$509,$B$64:$B$509,$B52)</f>
        <v>2544.0393727795827</v>
      </c>
      <c r="M52" s="98">
        <f>SUMIFS($S$64:$S$509,$B$64:$B$509,$B52)</f>
        <v>85487.146206198711</v>
      </c>
      <c r="N52" s="80">
        <f>SUMIFS($V$64:$V$509,$B$64:$B$509,$B52)-SUMIFS($W$64:$W$509,$B$64:$B$509,$B52)</f>
        <v>-2</v>
      </c>
      <c r="O52" s="80">
        <f>SUMIFS($X$64:$X$509,$B$64:$B$509,$B52)</f>
        <v>210</v>
      </c>
      <c r="P52" s="80">
        <f t="shared" ref="P52:P55" si="42">IFERROR(R52/O52,0)</f>
        <v>437.93688736791205</v>
      </c>
      <c r="Q52" s="80">
        <f>SUMIFS($Z$64:$Z$509,$B$64:$B$509,$B52)+SUMIFS($Y$64:$Y$509,$B$64:$B$509,$B52)</f>
        <v>-800.8999215537516</v>
      </c>
      <c r="R52" s="80">
        <f>SUMIFS($AA$64:$AA$509,$B$64:$B$509,$B52)</f>
        <v>91966.746347261535</v>
      </c>
      <c r="S52" s="97">
        <f>SUMIFS($AD$64:$AD$509,$B$64:$B$509,$B52)-SUMIFS($AE$64:$AE$509,$B$64:$B$509,$B52)</f>
        <v>0</v>
      </c>
      <c r="T52" s="80">
        <f>SUMIFS($AF$64:$AF$509,$B$64:$B$509,$B52)</f>
        <v>210</v>
      </c>
      <c r="U52" s="80">
        <f t="shared" ref="U52:U55" si="43">IFERROR(W52/T52,0)</f>
        <v>474.78925330166186</v>
      </c>
      <c r="V52" s="80">
        <f>SUMIFS($AH$64:$AH$509,$B$64:$B$509,$B52)+SUMIFS($AG$64:$AG$509,$B$64:$B$509,$B52)</f>
        <v>0</v>
      </c>
      <c r="W52" s="98">
        <f>SUMIFS($AI$64:$AI$509,$B$64:$B$509,$B52)</f>
        <v>99705.743193348986</v>
      </c>
      <c r="X52" s="80">
        <f>SUMIFS($AL$64:$AL$509,$B$64:$B$509,$B52)-SUMIFS($AM$64:$AM$509,$B$64:$B$509,$B52)</f>
        <v>0</v>
      </c>
      <c r="Y52" s="80">
        <f>SUMIFS($AN$64:$AN$509,$B$64:$B$509,$B52)</f>
        <v>210</v>
      </c>
      <c r="Z52" s="80">
        <f t="shared" ref="Z52:Z55" si="44">IFERROR(AB52/Y52,0)</f>
        <v>513.77998363617826</v>
      </c>
      <c r="AA52" s="80">
        <f>SUMIFS($AP$64:$AP$509,$B$64:$B$509,$B52)+SUMIFS($AO$64:$AO$509,$B$64:$B$509,$B52)</f>
        <v>0</v>
      </c>
      <c r="AB52" s="98">
        <f>SUMIFS($AQ$64:$AQ$509,$B$64:$B$509,$B52)</f>
        <v>107893.79656359744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118</v>
      </c>
      <c r="G53" s="192">
        <f t="shared" si="40"/>
        <v>636.51659516949144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75108.958229999989</v>
      </c>
      <c r="I53" s="97">
        <f>SUMIFS($N$64:$N$509,$B$64:$B$509,$B53)-SUMIFS($O$64:$O$509,$B$64:$B$509,$B53)</f>
        <v>-2</v>
      </c>
      <c r="J53" s="80">
        <f>SUMIFS($P$64:$P$509,$B$64:$B$509,$B53)</f>
        <v>116</v>
      </c>
      <c r="K53" s="80">
        <f t="shared" si="41"/>
        <v>695.25026489110883</v>
      </c>
      <c r="L53" s="80">
        <f>SUMIFS($R$64:$R$509,$B$64:$B$509,$B53)+SUMIFS($Q$64:$Q$509,$B$64:$B$509,$B53)</f>
        <v>-1332.0013251586838</v>
      </c>
      <c r="M53" s="98">
        <f>SUMIFS($S$64:$S$509,$B$64:$B$509,$B53)</f>
        <v>80649.030727368619</v>
      </c>
      <c r="N53" s="80">
        <f>SUMIFS($V$64:$V$509,$B$64:$B$509,$B53)-SUMIFS($W$64:$W$509,$B$64:$B$509,$B53)</f>
        <v>0</v>
      </c>
      <c r="O53" s="80">
        <f>SUMIFS($X$64:$X$509,$B$64:$B$509,$B53)</f>
        <v>116</v>
      </c>
      <c r="P53" s="80">
        <f t="shared" si="42"/>
        <v>754.63422782507871</v>
      </c>
      <c r="Q53" s="80">
        <f>SUMIFS($Z$64:$Z$509,$B$64:$B$509,$B53)+SUMIFS($Y$64:$Y$509,$B$64:$B$509,$B53)</f>
        <v>0</v>
      </c>
      <c r="R53" s="80">
        <f>SUMIFS($AA$64:$AA$509,$B$64:$B$509,$B53)</f>
        <v>87537.570427709128</v>
      </c>
      <c r="S53" s="97">
        <f>SUMIFS($AD$64:$AD$509,$B$64:$B$509,$B53)-SUMIFS($AE$64:$AE$509,$B$64:$B$509,$B53)</f>
        <v>0</v>
      </c>
      <c r="T53" s="80">
        <f>SUMIFS($AF$64:$AF$509,$B$64:$B$509,$B53)</f>
        <v>116</v>
      </c>
      <c r="U53" s="80">
        <f t="shared" si="43"/>
        <v>818.3249459050046</v>
      </c>
      <c r="V53" s="80">
        <f>SUMIFS($AH$64:$AH$509,$B$64:$B$509,$B53)+SUMIFS($AG$64:$AG$509,$B$64:$B$509,$B53)</f>
        <v>0</v>
      </c>
      <c r="W53" s="98">
        <f>SUMIFS($AI$64:$AI$509,$B$64:$B$509,$B53)</f>
        <v>94925.693724980534</v>
      </c>
      <c r="X53" s="80">
        <f>SUMIFS($AL$64:$AL$509,$B$64:$B$509,$B53)-SUMIFS($AM$64:$AM$509,$B$64:$B$509,$B53)</f>
        <v>0</v>
      </c>
      <c r="Y53" s="80">
        <f>SUMIFS($AN$64:$AN$509,$B$64:$B$509,$B53)</f>
        <v>116</v>
      </c>
      <c r="Z53" s="80">
        <f t="shared" si="44"/>
        <v>885.73095407633934</v>
      </c>
      <c r="AA53" s="80">
        <f>SUMIFS($AP$64:$AP$509,$B$64:$B$509,$B53)+SUMIFS($AO$64:$AO$509,$B$64:$B$509,$B53)</f>
        <v>0</v>
      </c>
      <c r="AB53" s="98">
        <f>SUMIFS($AQ$64:$AQ$509,$B$64:$B$509,$B53)</f>
        <v>102744.79067285536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66</v>
      </c>
      <c r="G54" s="192">
        <f t="shared" si="40"/>
        <v>1055.202145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69643.341570000004</v>
      </c>
      <c r="I54" s="97">
        <f>SUMIFS($N$64:$N$509,$B$64:$B$509,$B54)-SUMIFS($O$64:$O$509,$B$64:$B$509,$B54)</f>
        <v>1</v>
      </c>
      <c r="J54" s="80">
        <f>SUMIFS($P$64:$P$509,$B$64:$B$509,$B54)</f>
        <v>67</v>
      </c>
      <c r="K54" s="80">
        <f t="shared" si="41"/>
        <v>1109.1839378708971</v>
      </c>
      <c r="L54" s="80">
        <f>SUMIFS($R$64:$R$509,$B$64:$B$509,$B54)+SUMIFS($Q$64:$Q$509,$B$64:$B$509,$B54)</f>
        <v>1328.2749175168426</v>
      </c>
      <c r="M54" s="98">
        <f>SUMIFS($S$64:$S$509,$B$64:$B$509,$B54)</f>
        <v>74315.323837350108</v>
      </c>
      <c r="N54" s="80">
        <f>SUMIFS($V$64:$V$509,$B$64:$B$509,$B54)-SUMIFS($W$64:$W$509,$B$64:$B$509,$B54)</f>
        <v>0</v>
      </c>
      <c r="O54" s="80">
        <f>SUMIFS($X$64:$X$509,$B$64:$B$509,$B54)</f>
        <v>67</v>
      </c>
      <c r="P54" s="80">
        <f t="shared" si="42"/>
        <v>1192.8284883710896</v>
      </c>
      <c r="Q54" s="80">
        <f>SUMIFS($Z$64:$Z$509,$B$64:$B$509,$B54)+SUMIFS($Y$64:$Y$509,$B$64:$B$509,$B54)</f>
        <v>0</v>
      </c>
      <c r="R54" s="80">
        <f>SUMIFS($AA$64:$AA$509,$B$64:$B$509,$B54)</f>
        <v>79919.508720862999</v>
      </c>
      <c r="S54" s="97">
        <f>SUMIFS($AD$64:$AD$509,$B$64:$B$509,$B54)-SUMIFS($AE$64:$AE$509,$B$64:$B$509,$B54)</f>
        <v>0</v>
      </c>
      <c r="T54" s="80">
        <f>SUMIFS($AF$64:$AF$509,$B$64:$B$509,$B54)</f>
        <v>67</v>
      </c>
      <c r="U54" s="80">
        <f t="shared" si="43"/>
        <v>1281.5708434829405</v>
      </c>
      <c r="V54" s="80">
        <f>SUMIFS($AH$64:$AH$509,$B$64:$B$509,$B54)+SUMIFS($AG$64:$AG$509,$B$64:$B$509,$B54)</f>
        <v>0</v>
      </c>
      <c r="W54" s="98">
        <f>SUMIFS($AI$64:$AI$509,$B$64:$B$509,$B54)</f>
        <v>85865.246513357008</v>
      </c>
      <c r="X54" s="80">
        <f>SUMIFS($AL$64:$AL$509,$B$64:$B$509,$B54)-SUMIFS($AM$64:$AM$509,$B$64:$B$509,$B54)</f>
        <v>0</v>
      </c>
      <c r="Y54" s="80">
        <f>SUMIFS($AN$64:$AN$509,$B$64:$B$509,$B54)</f>
        <v>67</v>
      </c>
      <c r="Z54" s="80">
        <f t="shared" si="44"/>
        <v>1374.3152030175338</v>
      </c>
      <c r="AA54" s="80">
        <f>SUMIFS($AP$64:$AP$509,$B$64:$B$509,$B54)+SUMIFS($AO$64:$AO$509,$B$64:$B$509,$B54)</f>
        <v>0</v>
      </c>
      <c r="AB54" s="98">
        <f>SUMIFS($AQ$64:$AQ$509,$B$64:$B$509,$B54)</f>
        <v>92079.118602174771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509</v>
      </c>
      <c r="G56" s="92">
        <f t="shared" ref="G56" si="45">IFERROR(H56/F56,0)</f>
        <v>483.04641579567777</v>
      </c>
      <c r="H56" s="92">
        <f>SUM(H51:H55)</f>
        <v>245870.62563999998</v>
      </c>
      <c r="I56" s="92">
        <f>SUM(I51:I55)</f>
        <v>8</v>
      </c>
      <c r="J56" s="92">
        <f>SUM(J51:J55)</f>
        <v>517</v>
      </c>
      <c r="K56" s="92">
        <f t="shared" si="41"/>
        <v>516.41499391004845</v>
      </c>
      <c r="L56" s="92">
        <f>SUM(L51:L55)</f>
        <v>3145.854205804686</v>
      </c>
      <c r="M56" s="92">
        <f>SUM(M51:M55)</f>
        <v>266986.55185149505</v>
      </c>
      <c r="N56" s="92">
        <f t="shared" ref="N56:O56" si="46">SUM(N51:N55)</f>
        <v>-3</v>
      </c>
      <c r="O56" s="92">
        <f t="shared" si="46"/>
        <v>514</v>
      </c>
      <c r="P56" s="92">
        <f>IFERROR(R56/O56,0)</f>
        <v>560.16092659460048</v>
      </c>
      <c r="Q56" s="92">
        <f t="shared" ref="Q56" si="47">SUM(Q51:Q55)</f>
        <v>-1080.9004711045613</v>
      </c>
      <c r="R56" s="92">
        <f t="shared" ref="R56:T56" si="48">SUM(R51:R55)</f>
        <v>287922.71626962465</v>
      </c>
      <c r="S56" s="92">
        <f t="shared" si="48"/>
        <v>0</v>
      </c>
      <c r="T56" s="92">
        <f t="shared" si="48"/>
        <v>514</v>
      </c>
      <c r="U56" s="92">
        <f>IFERROR(W56/T56,0)</f>
        <v>605.79069833898961</v>
      </c>
      <c r="V56" s="92">
        <f t="shared" ref="V56" si="49">SUM(V51:V55)</f>
        <v>0</v>
      </c>
      <c r="W56" s="92">
        <f t="shared" ref="W56:Y56" si="50">SUM(W51:W55)</f>
        <v>311376.41894624068</v>
      </c>
      <c r="X56" s="92">
        <f t="shared" si="50"/>
        <v>-9</v>
      </c>
      <c r="Y56" s="92">
        <f t="shared" si="50"/>
        <v>505</v>
      </c>
      <c r="Z56" s="92">
        <f>IFERROR(AB56/Y56,0)</f>
        <v>664.07489089643366</v>
      </c>
      <c r="AA56" s="92">
        <f t="shared" ref="AA56" si="51">SUM(AA51:AA55)</f>
        <v>-756.77949266128564</v>
      </c>
      <c r="AB56" s="104">
        <f t="shared" ref="AB56" si="52">SUM(AB51:AB55)</f>
        <v>335357.81990269898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1089.10781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9</v>
      </c>
      <c r="G65" s="35">
        <f>SUMIFS(WORKING!$AC$3:$AC$6802,WORKING!$A$3:$A$6802,Results!$D$3,WORKING!$B$3:$B$6802,Results!A65,WORKING!$C$3:$C$6802,Results!C65)/1000</f>
        <v>542.95897000000002</v>
      </c>
      <c r="H65" s="35">
        <f t="shared" ref="H65:H80" si="60">IFERROR(G65/F65,0)</f>
        <v>60.328774444444448</v>
      </c>
      <c r="I65" s="187" t="s">
        <v>754</v>
      </c>
      <c r="J65" s="212" t="s">
        <v>754</v>
      </c>
      <c r="K65" s="217">
        <f t="shared" ref="K65:K80" si="61">IFERROR(IF(J65="",G65,J65)/IF(I65="",F65,I65),"")</f>
        <v>60.328774444444448</v>
      </c>
      <c r="L65" s="34">
        <f t="shared" si="54"/>
        <v>9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65.887467721755556</v>
      </c>
      <c r="N65" s="57">
        <v>0</v>
      </c>
      <c r="O65" s="57">
        <v>0</v>
      </c>
      <c r="P65" s="61">
        <f t="shared" si="55"/>
        <v>9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592.98720949580002</v>
      </c>
      <c r="T65" s="35">
        <f t="shared" ref="T65:T80" si="65">P65</f>
        <v>9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71.55708431921262</v>
      </c>
      <c r="V65" s="57">
        <v>0</v>
      </c>
      <c r="W65" s="57">
        <v>0</v>
      </c>
      <c r="X65" s="61">
        <f t="shared" si="56"/>
        <v>9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644.01375887291363</v>
      </c>
      <c r="AB65" s="35">
        <f t="shared" ref="AB65:AB80" si="69">X65</f>
        <v>9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77.641940984296852</v>
      </c>
      <c r="AD65" s="57">
        <v>0</v>
      </c>
      <c r="AE65" s="57">
        <v>0</v>
      </c>
      <c r="AF65" s="61">
        <f t="shared" si="57"/>
        <v>9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698.77746885867168</v>
      </c>
      <c r="AJ65" s="35">
        <f t="shared" si="58"/>
        <v>9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84.086610295698407</v>
      </c>
      <c r="AL65" s="57">
        <v>0</v>
      </c>
      <c r="AM65" s="57">
        <v>9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-756.77949266128564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10.96508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26</v>
      </c>
      <c r="G67" s="35">
        <f>SUMIFS(WORKING!$AC$3:$AC$6802,WORKING!$A$3:$A$6802,Results!$D$3,WORKING!$B$3:$B$6802,Results!A67,WORKING!$C$3:$C$6802,Results!C67)/1000</f>
        <v>4569.0957100000005</v>
      </c>
      <c r="H67" s="35">
        <f t="shared" si="60"/>
        <v>175.7344503846154</v>
      </c>
      <c r="I67" s="187">
        <v>26</v>
      </c>
      <c r="J67" s="212">
        <v>4569.0957100000005</v>
      </c>
      <c r="K67" s="217">
        <f t="shared" si="61"/>
        <v>175.7344503846154</v>
      </c>
      <c r="L67" s="34">
        <f t="shared" si="54"/>
        <v>26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190.73965644774134</v>
      </c>
      <c r="N67" s="57">
        <v>0</v>
      </c>
      <c r="O67" s="57">
        <v>0</v>
      </c>
      <c r="P67" s="61">
        <f t="shared" si="55"/>
        <v>26</v>
      </c>
      <c r="Q67" s="40">
        <f t="shared" si="62"/>
        <v>0</v>
      </c>
      <c r="R67" s="40">
        <f t="shared" si="63"/>
        <v>0</v>
      </c>
      <c r="S67" s="44">
        <f t="shared" si="64"/>
        <v>4959.2310676412744</v>
      </c>
      <c r="T67" s="35">
        <f t="shared" si="65"/>
        <v>26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206.78559909619563</v>
      </c>
      <c r="V67" s="57">
        <v>0</v>
      </c>
      <c r="W67" s="57">
        <v>0</v>
      </c>
      <c r="X67" s="61">
        <f t="shared" si="56"/>
        <v>26</v>
      </c>
      <c r="Y67" s="40">
        <f t="shared" si="66"/>
        <v>0</v>
      </c>
      <c r="Z67" s="40">
        <f t="shared" si="67"/>
        <v>0</v>
      </c>
      <c r="AA67" s="44">
        <f t="shared" si="68"/>
        <v>5376.4255765010867</v>
      </c>
      <c r="AB67" s="35">
        <f t="shared" si="69"/>
        <v>26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223.97195739602091</v>
      </c>
      <c r="AD67" s="57">
        <v>0</v>
      </c>
      <c r="AE67" s="57">
        <v>0</v>
      </c>
      <c r="AF67" s="61">
        <f t="shared" si="57"/>
        <v>26</v>
      </c>
      <c r="AG67" s="40">
        <f t="shared" si="70"/>
        <v>0</v>
      </c>
      <c r="AH67" s="40">
        <f t="shared" si="71"/>
        <v>0</v>
      </c>
      <c r="AI67" s="44">
        <f t="shared" si="72"/>
        <v>5823.2708922965439</v>
      </c>
      <c r="AJ67" s="35">
        <f t="shared" si="58"/>
        <v>26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242.13299938310269</v>
      </c>
      <c r="AL67" s="57">
        <v>0</v>
      </c>
      <c r="AM67" s="57">
        <v>0</v>
      </c>
      <c r="AN67" s="61">
        <f t="shared" si="59"/>
        <v>26</v>
      </c>
      <c r="AO67" s="40">
        <f t="shared" si="73"/>
        <v>0</v>
      </c>
      <c r="AP67" s="40">
        <f t="shared" si="74"/>
        <v>0</v>
      </c>
      <c r="AQ67" s="44">
        <f t="shared" si="75"/>
        <v>6295.4579839606695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4</v>
      </c>
      <c r="G68" s="35">
        <f>SUMIFS(WORKING!$AC$3:$AC$6802,WORKING!$A$3:$A$6802,Results!$D$3,WORKING!$B$3:$B$6802,Results!A68,WORKING!$C$3:$C$6802,Results!C68)/1000</f>
        <v>742.68566999999996</v>
      </c>
      <c r="H68" s="35">
        <f t="shared" si="60"/>
        <v>185.67141749999999</v>
      </c>
      <c r="I68" s="187">
        <v>4</v>
      </c>
      <c r="J68" s="212">
        <v>742.68566999999996</v>
      </c>
      <c r="K68" s="217">
        <f t="shared" si="61"/>
        <v>185.67141749999999</v>
      </c>
      <c r="L68" s="34">
        <f t="shared" si="54"/>
        <v>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201.84708022231476</v>
      </c>
      <c r="N68" s="57">
        <v>3</v>
      </c>
      <c r="O68" s="57">
        <v>0</v>
      </c>
      <c r="P68" s="61">
        <f t="shared" si="55"/>
        <v>7</v>
      </c>
      <c r="Q68" s="40">
        <f t="shared" si="62"/>
        <v>605.5412406669443</v>
      </c>
      <c r="R68" s="40">
        <f t="shared" si="63"/>
        <v>0</v>
      </c>
      <c r="S68" s="44">
        <f t="shared" si="64"/>
        <v>1412.9295615562032</v>
      </c>
      <c r="T68" s="35">
        <f t="shared" si="65"/>
        <v>7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218.92901056073296</v>
      </c>
      <c r="V68" s="57">
        <v>0</v>
      </c>
      <c r="W68" s="57">
        <v>0</v>
      </c>
      <c r="X68" s="61">
        <f t="shared" si="56"/>
        <v>7</v>
      </c>
      <c r="Y68" s="40">
        <f t="shared" si="66"/>
        <v>0</v>
      </c>
      <c r="Z68" s="40">
        <f t="shared" si="67"/>
        <v>0</v>
      </c>
      <c r="AA68" s="44">
        <f t="shared" si="68"/>
        <v>1532.5030739251308</v>
      </c>
      <c r="AB68" s="35">
        <f t="shared" si="69"/>
        <v>7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237.23459126278851</v>
      </c>
      <c r="AD68" s="57">
        <v>0</v>
      </c>
      <c r="AE68" s="57">
        <v>0</v>
      </c>
      <c r="AF68" s="61">
        <f t="shared" si="57"/>
        <v>7</v>
      </c>
      <c r="AG68" s="40">
        <f t="shared" si="70"/>
        <v>0</v>
      </c>
      <c r="AH68" s="40">
        <f t="shared" si="71"/>
        <v>0</v>
      </c>
      <c r="AI68" s="44">
        <f t="shared" si="72"/>
        <v>1660.6421388395197</v>
      </c>
      <c r="AJ68" s="35">
        <f t="shared" si="58"/>
        <v>7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256.58973976202407</v>
      </c>
      <c r="AL68" s="57">
        <v>0</v>
      </c>
      <c r="AM68" s="57">
        <v>0</v>
      </c>
      <c r="AN68" s="61">
        <f t="shared" si="59"/>
        <v>7</v>
      </c>
      <c r="AO68" s="40">
        <f t="shared" si="73"/>
        <v>0</v>
      </c>
      <c r="AP68" s="40">
        <f t="shared" si="74"/>
        <v>0</v>
      </c>
      <c r="AQ68" s="44">
        <f t="shared" si="75"/>
        <v>1796.1281783341685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57</v>
      </c>
      <c r="G69" s="35">
        <f>SUMIFS(WORKING!$AC$3:$AC$6802,WORKING!$A$3:$A$6802,Results!$D$3,WORKING!$B$3:$B$6802,Results!A69,WORKING!$C$3:$C$6802,Results!C69)/1000</f>
        <v>12859.956720000002</v>
      </c>
      <c r="H69" s="35">
        <f t="shared" si="60"/>
        <v>225.61327578947373</v>
      </c>
      <c r="I69" s="187">
        <v>55</v>
      </c>
      <c r="J69" s="212">
        <v>12407.95672</v>
      </c>
      <c r="K69" s="217">
        <f t="shared" si="61"/>
        <v>225.5992130909091</v>
      </c>
      <c r="L69" s="34">
        <f t="shared" si="54"/>
        <v>55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245.22457025965181</v>
      </c>
      <c r="N69" s="57">
        <v>0</v>
      </c>
      <c r="O69" s="57">
        <v>0</v>
      </c>
      <c r="P69" s="61">
        <f t="shared" si="55"/>
        <v>55</v>
      </c>
      <c r="Q69" s="40">
        <f t="shared" si="62"/>
        <v>0</v>
      </c>
      <c r="R69" s="40">
        <f t="shared" si="63"/>
        <v>0</v>
      </c>
      <c r="S69" s="44">
        <f t="shared" si="64"/>
        <v>13487.35136428085</v>
      </c>
      <c r="T69" s="35">
        <f t="shared" si="65"/>
        <v>55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265.96709518228158</v>
      </c>
      <c r="V69" s="57">
        <v>0</v>
      </c>
      <c r="W69" s="57">
        <v>0</v>
      </c>
      <c r="X69" s="61">
        <f t="shared" si="56"/>
        <v>55</v>
      </c>
      <c r="Y69" s="40">
        <f t="shared" si="66"/>
        <v>0</v>
      </c>
      <c r="Z69" s="40">
        <f t="shared" si="67"/>
        <v>0</v>
      </c>
      <c r="AA69" s="44">
        <f t="shared" si="68"/>
        <v>14628.190235025488</v>
      </c>
      <c r="AB69" s="35">
        <f t="shared" si="69"/>
        <v>55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288.19458847558076</v>
      </c>
      <c r="AD69" s="57">
        <v>0</v>
      </c>
      <c r="AE69" s="57">
        <v>0</v>
      </c>
      <c r="AF69" s="61">
        <f t="shared" si="57"/>
        <v>55</v>
      </c>
      <c r="AG69" s="40">
        <f t="shared" si="70"/>
        <v>0</v>
      </c>
      <c r="AH69" s="40">
        <f t="shared" si="71"/>
        <v>0</v>
      </c>
      <c r="AI69" s="44">
        <f t="shared" si="72"/>
        <v>15850.702366156942</v>
      </c>
      <c r="AJ69" s="35">
        <f t="shared" si="58"/>
        <v>55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311.69551988671446</v>
      </c>
      <c r="AL69" s="57">
        <v>0</v>
      </c>
      <c r="AM69" s="57">
        <v>0</v>
      </c>
      <c r="AN69" s="61">
        <f t="shared" si="59"/>
        <v>55</v>
      </c>
      <c r="AO69" s="40">
        <f t="shared" si="73"/>
        <v>0</v>
      </c>
      <c r="AP69" s="40">
        <f t="shared" si="74"/>
        <v>0</v>
      </c>
      <c r="AQ69" s="44">
        <f t="shared" si="75"/>
        <v>17143.253593769296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29</v>
      </c>
      <c r="G70" s="35">
        <f>SUMIFS(WORKING!$AC$3:$AC$6802,WORKING!$A$3:$A$6802,Results!$D$3,WORKING!$B$3:$B$6802,Results!A70,WORKING!$C$3:$C$6802,Results!C70)/1000</f>
        <v>8558.2633699999988</v>
      </c>
      <c r="H70" s="35">
        <f t="shared" si="60"/>
        <v>295.11252999999994</v>
      </c>
      <c r="I70" s="187">
        <v>30</v>
      </c>
      <c r="J70" s="212">
        <v>8853.2633700000006</v>
      </c>
      <c r="K70" s="217">
        <f t="shared" si="61"/>
        <v>295.10877900000003</v>
      </c>
      <c r="L70" s="34">
        <f t="shared" si="54"/>
        <v>30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321.14729141847437</v>
      </c>
      <c r="N70" s="57">
        <v>2</v>
      </c>
      <c r="O70" s="57">
        <v>0</v>
      </c>
      <c r="P70" s="61">
        <f t="shared" si="55"/>
        <v>32</v>
      </c>
      <c r="Q70" s="40">
        <f t="shared" si="62"/>
        <v>642.29458283694873</v>
      </c>
      <c r="R70" s="40">
        <f t="shared" si="63"/>
        <v>0</v>
      </c>
      <c r="S70" s="44">
        <f t="shared" si="64"/>
        <v>10276.71332539118</v>
      </c>
      <c r="T70" s="35">
        <f t="shared" si="65"/>
        <v>32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348.42441774331365</v>
      </c>
      <c r="V70" s="57">
        <v>0</v>
      </c>
      <c r="W70" s="57">
        <v>0</v>
      </c>
      <c r="X70" s="61">
        <f t="shared" si="56"/>
        <v>32</v>
      </c>
      <c r="Y70" s="40">
        <f t="shared" si="66"/>
        <v>0</v>
      </c>
      <c r="Z70" s="40">
        <f t="shared" si="67"/>
        <v>0</v>
      </c>
      <c r="AA70" s="44">
        <f t="shared" si="68"/>
        <v>11149.581367786037</v>
      </c>
      <c r="AB70" s="35">
        <f t="shared" si="69"/>
        <v>32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377.66515721905199</v>
      </c>
      <c r="AD70" s="57">
        <v>0</v>
      </c>
      <c r="AE70" s="57">
        <v>0</v>
      </c>
      <c r="AF70" s="61">
        <f t="shared" si="57"/>
        <v>32</v>
      </c>
      <c r="AG70" s="40">
        <f t="shared" si="70"/>
        <v>0</v>
      </c>
      <c r="AH70" s="40">
        <f t="shared" si="71"/>
        <v>0</v>
      </c>
      <c r="AI70" s="44">
        <f t="shared" si="72"/>
        <v>12085.285031009664</v>
      </c>
      <c r="AJ70" s="35">
        <f t="shared" si="58"/>
        <v>32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408.59415464485335</v>
      </c>
      <c r="AL70" s="57">
        <v>0</v>
      </c>
      <c r="AM70" s="57">
        <v>0</v>
      </c>
      <c r="AN70" s="61">
        <f t="shared" si="59"/>
        <v>32</v>
      </c>
      <c r="AO70" s="40">
        <f t="shared" si="73"/>
        <v>0</v>
      </c>
      <c r="AP70" s="40">
        <f t="shared" si="74"/>
        <v>0</v>
      </c>
      <c r="AQ70" s="44">
        <f t="shared" si="75"/>
        <v>13075.012948635307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27</v>
      </c>
      <c r="G71" s="35">
        <f>SUMIFS(WORKING!$AC$3:$AC$6802,WORKING!$A$3:$A$6802,Results!$D$3,WORKING!$B$3:$B$6802,Results!A71,WORKING!$C$3:$C$6802,Results!C71)/1000</f>
        <v>9857.7992600000016</v>
      </c>
      <c r="H71" s="35">
        <f>IFERROR(G71/F71,0)</f>
        <v>365.10367629629633</v>
      </c>
      <c r="I71" s="187">
        <v>27</v>
      </c>
      <c r="J71" s="212">
        <v>9857.7992600000016</v>
      </c>
      <c r="K71" s="217">
        <f t="shared" si="61"/>
        <v>365.10367629629633</v>
      </c>
      <c r="L71" s="34">
        <f t="shared" si="54"/>
        <v>27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397.58645059672006</v>
      </c>
      <c r="N71" s="57">
        <v>0</v>
      </c>
      <c r="O71" s="57">
        <v>2</v>
      </c>
      <c r="P71" s="61">
        <f t="shared" si="55"/>
        <v>25</v>
      </c>
      <c r="Q71" s="40">
        <f t="shared" si="62"/>
        <v>0</v>
      </c>
      <c r="R71" s="40">
        <f t="shared" si="63"/>
        <v>-795.17290119344011</v>
      </c>
      <c r="S71" s="44">
        <f t="shared" si="64"/>
        <v>9939.6612649180006</v>
      </c>
      <c r="T71" s="35">
        <f t="shared" si="65"/>
        <v>25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431.4381782059699</v>
      </c>
      <c r="V71" s="57">
        <v>0</v>
      </c>
      <c r="W71" s="57">
        <v>0</v>
      </c>
      <c r="X71" s="61">
        <f t="shared" si="56"/>
        <v>25</v>
      </c>
      <c r="Y71" s="40">
        <f t="shared" si="66"/>
        <v>0</v>
      </c>
      <c r="Z71" s="40">
        <f t="shared" si="67"/>
        <v>0</v>
      </c>
      <c r="AA71" s="44">
        <f t="shared" si="68"/>
        <v>10785.954455149247</v>
      </c>
      <c r="AB71" s="35">
        <f t="shared" si="69"/>
        <v>25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467.73474407126452</v>
      </c>
      <c r="AD71" s="57">
        <v>0</v>
      </c>
      <c r="AE71" s="57">
        <v>0</v>
      </c>
      <c r="AF71" s="61">
        <f t="shared" si="57"/>
        <v>25</v>
      </c>
      <c r="AG71" s="40">
        <f t="shared" si="70"/>
        <v>0</v>
      </c>
      <c r="AH71" s="40">
        <f t="shared" si="71"/>
        <v>0</v>
      </c>
      <c r="AI71" s="44">
        <f t="shared" si="72"/>
        <v>11693.368601781613</v>
      </c>
      <c r="AJ71" s="35">
        <f t="shared" si="58"/>
        <v>25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506.13651297834997</v>
      </c>
      <c r="AL71" s="57">
        <v>0</v>
      </c>
      <c r="AM71" s="57">
        <v>0</v>
      </c>
      <c r="AN71" s="61">
        <f t="shared" si="59"/>
        <v>25</v>
      </c>
      <c r="AO71" s="40">
        <f t="shared" si="73"/>
        <v>0</v>
      </c>
      <c r="AP71" s="40">
        <f t="shared" si="74"/>
        <v>0</v>
      </c>
      <c r="AQ71" s="44">
        <f t="shared" si="75"/>
        <v>12653.41282445875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31</v>
      </c>
      <c r="G72" s="35">
        <f>SUMIFS(WORKING!$AC$3:$AC$6802,WORKING!$A$3:$A$6802,Results!$D$3,WORKING!$B$3:$B$6802,Results!A72,WORKING!$C$3:$C$6802,Results!C72)/1000</f>
        <v>13344.450720000001</v>
      </c>
      <c r="H72" s="35">
        <f t="shared" si="60"/>
        <v>430.46615225806454</v>
      </c>
      <c r="I72" s="187">
        <v>29</v>
      </c>
      <c r="J72" s="212">
        <v>12484.450720000001</v>
      </c>
      <c r="K72" s="217">
        <f>IFERROR(IF(J72="",G72,J72)/IF(I72="",F72,I72),"")</f>
        <v>430.4983006896552</v>
      </c>
      <c r="L72" s="34">
        <f t="shared" si="54"/>
        <v>29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468.98259045668368</v>
      </c>
      <c r="N72" s="57">
        <v>0</v>
      </c>
      <c r="O72" s="57">
        <v>0</v>
      </c>
      <c r="P72" s="61">
        <f t="shared" si="55"/>
        <v>29</v>
      </c>
      <c r="Q72" s="40">
        <f t="shared" si="62"/>
        <v>0</v>
      </c>
      <c r="R72" s="40">
        <f t="shared" si="63"/>
        <v>0</v>
      </c>
      <c r="S72" s="44">
        <f t="shared" si="64"/>
        <v>13600.495123243827</v>
      </c>
      <c r="T72" s="35">
        <f t="shared" si="65"/>
        <v>29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508.97064628892451</v>
      </c>
      <c r="V72" s="57">
        <v>0</v>
      </c>
      <c r="W72" s="57">
        <v>0</v>
      </c>
      <c r="X72" s="61">
        <f t="shared" si="56"/>
        <v>29</v>
      </c>
      <c r="Y72" s="40">
        <f t="shared" si="66"/>
        <v>0</v>
      </c>
      <c r="Z72" s="40">
        <f t="shared" si="67"/>
        <v>0</v>
      </c>
      <c r="AA72" s="44">
        <f t="shared" si="68"/>
        <v>14760.148742378811</v>
      </c>
      <c r="AB72" s="35">
        <f t="shared" si="69"/>
        <v>29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551.85220662735048</v>
      </c>
      <c r="AD72" s="57">
        <v>0</v>
      </c>
      <c r="AE72" s="57">
        <v>0</v>
      </c>
      <c r="AF72" s="61">
        <f t="shared" si="57"/>
        <v>29</v>
      </c>
      <c r="AG72" s="40">
        <f t="shared" si="70"/>
        <v>0</v>
      </c>
      <c r="AH72" s="40">
        <f t="shared" si="71"/>
        <v>0</v>
      </c>
      <c r="AI72" s="44">
        <f t="shared" si="72"/>
        <v>16003.713992193165</v>
      </c>
      <c r="AJ72" s="35">
        <f t="shared" si="58"/>
        <v>29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597.22744250494827</v>
      </c>
      <c r="AL72" s="57">
        <v>0</v>
      </c>
      <c r="AM72" s="57">
        <v>0</v>
      </c>
      <c r="AN72" s="61">
        <f t="shared" si="59"/>
        <v>29</v>
      </c>
      <c r="AO72" s="40">
        <f t="shared" si="73"/>
        <v>0</v>
      </c>
      <c r="AP72" s="40">
        <f t="shared" si="74"/>
        <v>0</v>
      </c>
      <c r="AQ72" s="44">
        <f t="shared" si="75"/>
        <v>17319.595832643499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13</v>
      </c>
      <c r="G73" s="35">
        <f>SUMIFS(WORKING!$AC$3:$AC$6802,WORKING!$A$3:$A$6802,Results!$D$3,WORKING!$B$3:$B$6802,Results!A73,WORKING!$C$3:$C$6802,Results!C73)/1000</f>
        <v>6616.845839999999</v>
      </c>
      <c r="H73" s="35">
        <f t="shared" si="60"/>
        <v>508.98814153846149</v>
      </c>
      <c r="I73" s="187">
        <v>12</v>
      </c>
      <c r="J73" s="212">
        <v>6107.84584</v>
      </c>
      <c r="K73" s="217">
        <f t="shared" si="61"/>
        <v>508.98715333333331</v>
      </c>
      <c r="L73" s="34">
        <f t="shared" si="54"/>
        <v>12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554.68098352312632</v>
      </c>
      <c r="N73" s="57">
        <v>3</v>
      </c>
      <c r="O73" s="57">
        <v>0</v>
      </c>
      <c r="P73" s="61">
        <f t="shared" si="55"/>
        <v>15</v>
      </c>
      <c r="Q73" s="40">
        <f t="shared" si="62"/>
        <v>1664.0429505693789</v>
      </c>
      <c r="R73" s="40">
        <f t="shared" si="63"/>
        <v>0</v>
      </c>
      <c r="S73" s="44">
        <f t="shared" si="64"/>
        <v>8320.214752846894</v>
      </c>
      <c r="T73" s="35">
        <f t="shared" si="65"/>
        <v>15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602.03438851844703</v>
      </c>
      <c r="V73" s="57">
        <v>0</v>
      </c>
      <c r="W73" s="57">
        <v>0</v>
      </c>
      <c r="X73" s="61">
        <f t="shared" si="56"/>
        <v>15</v>
      </c>
      <c r="Y73" s="40">
        <f t="shared" si="66"/>
        <v>0</v>
      </c>
      <c r="Z73" s="40">
        <f t="shared" si="67"/>
        <v>0</v>
      </c>
      <c r="AA73" s="44">
        <f t="shared" si="68"/>
        <v>9030.5158277767059</v>
      </c>
      <c r="AB73" s="35">
        <f t="shared" si="69"/>
        <v>15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652.81993517327237</v>
      </c>
      <c r="AD73" s="57">
        <v>0</v>
      </c>
      <c r="AE73" s="57">
        <v>0</v>
      </c>
      <c r="AF73" s="61">
        <f t="shared" si="57"/>
        <v>15</v>
      </c>
      <c r="AG73" s="40">
        <f t="shared" si="70"/>
        <v>0</v>
      </c>
      <c r="AH73" s="40">
        <f t="shared" si="71"/>
        <v>0</v>
      </c>
      <c r="AI73" s="44">
        <f t="shared" si="72"/>
        <v>9792.2990275990851</v>
      </c>
      <c r="AJ73" s="35">
        <f t="shared" si="58"/>
        <v>15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706.5656993144255</v>
      </c>
      <c r="AL73" s="57">
        <v>0</v>
      </c>
      <c r="AM73" s="57">
        <v>0</v>
      </c>
      <c r="AN73" s="61">
        <f t="shared" si="59"/>
        <v>15</v>
      </c>
      <c r="AO73" s="40">
        <f t="shared" si="73"/>
        <v>0</v>
      </c>
      <c r="AP73" s="40">
        <f t="shared" si="74"/>
        <v>0</v>
      </c>
      <c r="AQ73" s="44">
        <f t="shared" si="75"/>
        <v>10598.485489716382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27</v>
      </c>
      <c r="G74" s="35">
        <f>SUMIFS(WORKING!$AC$3:$AC$6802,WORKING!$A$3:$A$6802,Results!$D$3,WORKING!$B$3:$B$6802,Results!A74,WORKING!$C$3:$C$6802,Results!C74)/1000</f>
        <v>17810.798619999998</v>
      </c>
      <c r="H74" s="35">
        <f t="shared" si="60"/>
        <v>659.65920814814808</v>
      </c>
      <c r="I74" s="187">
        <v>30</v>
      </c>
      <c r="J74" s="212">
        <v>15830.798620000001</v>
      </c>
      <c r="K74" s="217">
        <f t="shared" si="61"/>
        <v>527.69328733333339</v>
      </c>
      <c r="L74" s="34">
        <f t="shared" si="54"/>
        <v>30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575.91710565874575</v>
      </c>
      <c r="N74" s="57">
        <v>0</v>
      </c>
      <c r="O74" s="57">
        <v>0</v>
      </c>
      <c r="P74" s="61">
        <f t="shared" si="55"/>
        <v>30</v>
      </c>
      <c r="Q74" s="40">
        <f t="shared" si="62"/>
        <v>0</v>
      </c>
      <c r="R74" s="40">
        <f t="shared" si="63"/>
        <v>0</v>
      </c>
      <c r="S74" s="44">
        <f t="shared" si="64"/>
        <v>17277.513169762373</v>
      </c>
      <c r="T74" s="35">
        <f t="shared" si="65"/>
        <v>30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625.04299546843436</v>
      </c>
      <c r="V74" s="57">
        <v>0</v>
      </c>
      <c r="W74" s="57">
        <v>0</v>
      </c>
      <c r="X74" s="61">
        <f t="shared" si="56"/>
        <v>30</v>
      </c>
      <c r="Y74" s="40">
        <f t="shared" si="66"/>
        <v>0</v>
      </c>
      <c r="Z74" s="40">
        <f t="shared" si="67"/>
        <v>0</v>
      </c>
      <c r="AA74" s="44">
        <f t="shared" si="68"/>
        <v>18751.289864053029</v>
      </c>
      <c r="AB74" s="35">
        <f t="shared" si="69"/>
        <v>30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677.72535669724198</v>
      </c>
      <c r="AD74" s="57">
        <v>0</v>
      </c>
      <c r="AE74" s="57">
        <v>0</v>
      </c>
      <c r="AF74" s="61">
        <f t="shared" si="57"/>
        <v>30</v>
      </c>
      <c r="AG74" s="40">
        <f t="shared" si="70"/>
        <v>0</v>
      </c>
      <c r="AH74" s="40">
        <f t="shared" si="71"/>
        <v>0</v>
      </c>
      <c r="AI74" s="44">
        <f t="shared" si="72"/>
        <v>20331.760700917261</v>
      </c>
      <c r="AJ74" s="35">
        <f t="shared" si="58"/>
        <v>30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733.47326960993814</v>
      </c>
      <c r="AL74" s="57">
        <v>0</v>
      </c>
      <c r="AM74" s="57">
        <v>0</v>
      </c>
      <c r="AN74" s="61">
        <f t="shared" si="59"/>
        <v>30</v>
      </c>
      <c r="AO74" s="40">
        <f t="shared" si="73"/>
        <v>0</v>
      </c>
      <c r="AP74" s="40">
        <f t="shared" si="74"/>
        <v>0</v>
      </c>
      <c r="AQ74" s="44">
        <f t="shared" si="75"/>
        <v>22004.198088298144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18</v>
      </c>
      <c r="G75" s="35">
        <f>SUMIFS(WORKING!$AC$3:$AC$6802,WORKING!$A$3:$A$6802,Results!$D$3,WORKING!$B$3:$B$6802,Results!A75,WORKING!$C$3:$C$6802,Results!C75)/1000</f>
        <v>13178.255119999998</v>
      </c>
      <c r="H75" s="35">
        <f t="shared" si="60"/>
        <v>732.12528444444433</v>
      </c>
      <c r="I75" s="187">
        <v>16</v>
      </c>
      <c r="J75" s="212">
        <v>11714.25512</v>
      </c>
      <c r="K75" s="217">
        <f t="shared" si="61"/>
        <v>732.14094499999999</v>
      </c>
      <c r="L75" s="34">
        <f t="shared" si="54"/>
        <v>16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799.28902364025078</v>
      </c>
      <c r="N75" s="57">
        <v>0</v>
      </c>
      <c r="O75" s="57">
        <v>0</v>
      </c>
      <c r="P75" s="61">
        <f t="shared" si="55"/>
        <v>16</v>
      </c>
      <c r="Q75" s="40">
        <f t="shared" si="62"/>
        <v>0</v>
      </c>
      <c r="R75" s="40">
        <f t="shared" si="63"/>
        <v>0</v>
      </c>
      <c r="S75" s="44">
        <f t="shared" si="64"/>
        <v>12788.624378244012</v>
      </c>
      <c r="T75" s="35">
        <f t="shared" si="65"/>
        <v>16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867.72979285073143</v>
      </c>
      <c r="V75" s="57">
        <v>0</v>
      </c>
      <c r="W75" s="57">
        <v>0</v>
      </c>
      <c r="X75" s="61">
        <f t="shared" si="56"/>
        <v>16</v>
      </c>
      <c r="Y75" s="40">
        <f t="shared" si="66"/>
        <v>0</v>
      </c>
      <c r="Z75" s="40">
        <f t="shared" si="67"/>
        <v>0</v>
      </c>
      <c r="AA75" s="44">
        <f t="shared" si="68"/>
        <v>13883.676685611703</v>
      </c>
      <c r="AB75" s="35">
        <f t="shared" si="69"/>
        <v>16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941.15054116373892</v>
      </c>
      <c r="AD75" s="57">
        <v>0</v>
      </c>
      <c r="AE75" s="57">
        <v>0</v>
      </c>
      <c r="AF75" s="61">
        <f t="shared" si="57"/>
        <v>16</v>
      </c>
      <c r="AG75" s="40">
        <f t="shared" si="70"/>
        <v>0</v>
      </c>
      <c r="AH75" s="40">
        <f t="shared" si="71"/>
        <v>0</v>
      </c>
      <c r="AI75" s="44">
        <f t="shared" si="72"/>
        <v>15058.408658619823</v>
      </c>
      <c r="AJ75" s="35">
        <f t="shared" si="58"/>
        <v>16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1018.8738076821871</v>
      </c>
      <c r="AL75" s="57">
        <v>0</v>
      </c>
      <c r="AM75" s="57">
        <v>0</v>
      </c>
      <c r="AN75" s="61">
        <f t="shared" si="59"/>
        <v>16</v>
      </c>
      <c r="AO75" s="40">
        <f t="shared" si="73"/>
        <v>0</v>
      </c>
      <c r="AP75" s="40">
        <f t="shared" si="74"/>
        <v>0</v>
      </c>
      <c r="AQ75" s="44">
        <f t="shared" si="75"/>
        <v>16301.980922914994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18</v>
      </c>
      <c r="G76" s="35">
        <f>SUMIFS(WORKING!$AC$3:$AC$6802,WORKING!$A$3:$A$6802,Results!$D$3,WORKING!$B$3:$B$6802,Results!A76,WORKING!$C$3:$C$6802,Results!C76)/1000</f>
        <v>17080.57475</v>
      </c>
      <c r="H76" s="35">
        <f t="shared" si="60"/>
        <v>948.92081944444442</v>
      </c>
      <c r="I76" s="187">
        <v>18</v>
      </c>
      <c r="J76" s="212">
        <v>17080.57475</v>
      </c>
      <c r="K76" s="217">
        <f t="shared" si="61"/>
        <v>948.92081944444442</v>
      </c>
      <c r="L76" s="34">
        <f t="shared" si="54"/>
        <v>18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994.45497097320276</v>
      </c>
      <c r="N76" s="57">
        <v>0</v>
      </c>
      <c r="O76" s="57">
        <v>0</v>
      </c>
      <c r="P76" s="61">
        <f t="shared" si="55"/>
        <v>18</v>
      </c>
      <c r="Q76" s="40">
        <f t="shared" si="62"/>
        <v>0</v>
      </c>
      <c r="R76" s="40">
        <f t="shared" si="63"/>
        <v>0</v>
      </c>
      <c r="S76" s="44">
        <f t="shared" si="64"/>
        <v>17900.189477517648</v>
      </c>
      <c r="T76" s="35">
        <f t="shared" si="65"/>
        <v>18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1069.4138750726106</v>
      </c>
      <c r="V76" s="57">
        <v>0</v>
      </c>
      <c r="W76" s="57">
        <v>0</v>
      </c>
      <c r="X76" s="61">
        <f t="shared" si="56"/>
        <v>18</v>
      </c>
      <c r="Y76" s="40">
        <f t="shared" si="66"/>
        <v>0</v>
      </c>
      <c r="Z76" s="40">
        <f t="shared" si="67"/>
        <v>0</v>
      </c>
      <c r="AA76" s="44">
        <f t="shared" si="68"/>
        <v>19249.449751306991</v>
      </c>
      <c r="AB76" s="35">
        <f t="shared" si="69"/>
        <v>18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1148.9380195110934</v>
      </c>
      <c r="AD76" s="57">
        <v>0</v>
      </c>
      <c r="AE76" s="57">
        <v>0</v>
      </c>
      <c r="AF76" s="61">
        <f t="shared" si="57"/>
        <v>18</v>
      </c>
      <c r="AG76" s="40">
        <f t="shared" si="70"/>
        <v>0</v>
      </c>
      <c r="AH76" s="40">
        <f t="shared" si="71"/>
        <v>0</v>
      </c>
      <c r="AI76" s="44">
        <f t="shared" si="72"/>
        <v>20680.884351199682</v>
      </c>
      <c r="AJ76" s="35">
        <f t="shared" si="58"/>
        <v>18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1232.0445572325721</v>
      </c>
      <c r="AL76" s="57">
        <v>0</v>
      </c>
      <c r="AM76" s="57">
        <v>0</v>
      </c>
      <c r="AN76" s="61">
        <f t="shared" si="59"/>
        <v>18</v>
      </c>
      <c r="AO76" s="40">
        <f t="shared" si="73"/>
        <v>0</v>
      </c>
      <c r="AP76" s="40">
        <f t="shared" si="74"/>
        <v>0</v>
      </c>
      <c r="AQ76" s="44">
        <f t="shared" si="75"/>
        <v>22176.802030186296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5</v>
      </c>
      <c r="G77" s="35">
        <f>SUMIFS(WORKING!$AC$3:$AC$6802,WORKING!$A$3:$A$6802,Results!$D$3,WORKING!$B$3:$B$6802,Results!A77,WORKING!$C$3:$C$6802,Results!C77)/1000</f>
        <v>5995.8927200000007</v>
      </c>
      <c r="H77" s="35">
        <f t="shared" si="60"/>
        <v>1199.1785440000001</v>
      </c>
      <c r="I77" s="187">
        <v>5</v>
      </c>
      <c r="J77" s="212">
        <v>5995.8927200000007</v>
      </c>
      <c r="K77" s="217">
        <f t="shared" si="61"/>
        <v>1199.1785440000001</v>
      </c>
      <c r="L77" s="34">
        <f t="shared" si="54"/>
        <v>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1256.40910127191</v>
      </c>
      <c r="N77" s="57">
        <v>0</v>
      </c>
      <c r="O77" s="57">
        <v>0</v>
      </c>
      <c r="P77" s="61">
        <f t="shared" si="55"/>
        <v>5</v>
      </c>
      <c r="Q77" s="40">
        <f t="shared" si="62"/>
        <v>0</v>
      </c>
      <c r="R77" s="40">
        <f t="shared" si="63"/>
        <v>0</v>
      </c>
      <c r="S77" s="44">
        <f t="shared" si="64"/>
        <v>6282.04550635955</v>
      </c>
      <c r="T77" s="35">
        <f t="shared" si="65"/>
        <v>5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1350.7775740808579</v>
      </c>
      <c r="V77" s="57">
        <v>0</v>
      </c>
      <c r="W77" s="57">
        <v>0</v>
      </c>
      <c r="X77" s="61">
        <f t="shared" si="56"/>
        <v>5</v>
      </c>
      <c r="Y77" s="40">
        <f t="shared" si="66"/>
        <v>0</v>
      </c>
      <c r="Z77" s="40">
        <f t="shared" si="67"/>
        <v>0</v>
      </c>
      <c r="AA77" s="44">
        <f t="shared" si="68"/>
        <v>6753.8878704042891</v>
      </c>
      <c r="AB77" s="35">
        <f t="shared" si="69"/>
        <v>5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1450.8639996225236</v>
      </c>
      <c r="AD77" s="57">
        <v>0</v>
      </c>
      <c r="AE77" s="57">
        <v>0</v>
      </c>
      <c r="AF77" s="61">
        <f t="shared" si="57"/>
        <v>5</v>
      </c>
      <c r="AG77" s="40">
        <f t="shared" si="70"/>
        <v>0</v>
      </c>
      <c r="AH77" s="40">
        <f t="shared" si="71"/>
        <v>0</v>
      </c>
      <c r="AI77" s="44">
        <f t="shared" si="72"/>
        <v>7254.3199981126181</v>
      </c>
      <c r="AJ77" s="35">
        <f t="shared" si="58"/>
        <v>5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1555.4232800394295</v>
      </c>
      <c r="AL77" s="57">
        <v>0</v>
      </c>
      <c r="AM77" s="57">
        <v>0</v>
      </c>
      <c r="AN77" s="61">
        <f t="shared" si="59"/>
        <v>5</v>
      </c>
      <c r="AO77" s="40">
        <f t="shared" si="73"/>
        <v>0</v>
      </c>
      <c r="AP77" s="40">
        <f t="shared" si="74"/>
        <v>0</v>
      </c>
      <c r="AQ77" s="44">
        <f t="shared" si="75"/>
        <v>7777.1164001971474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2483.7656500000003</v>
      </c>
      <c r="H78" s="35">
        <f t="shared" si="60"/>
        <v>2483.7656500000003</v>
      </c>
      <c r="I78" s="187">
        <v>1</v>
      </c>
      <c r="J78" s="212">
        <v>1267</v>
      </c>
      <c r="K78" s="217">
        <f t="shared" si="61"/>
        <v>1267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1328.2749175168426</v>
      </c>
      <c r="N78" s="57">
        <v>1</v>
      </c>
      <c r="O78" s="57">
        <v>0</v>
      </c>
      <c r="P78" s="61">
        <f t="shared" si="55"/>
        <v>2</v>
      </c>
      <c r="Q78" s="40">
        <f t="shared" si="62"/>
        <v>1328.2749175168426</v>
      </c>
      <c r="R78" s="40">
        <f t="shared" si="63"/>
        <v>0</v>
      </c>
      <c r="S78" s="44">
        <f t="shared" si="64"/>
        <v>2656.5498350336852</v>
      </c>
      <c r="T78" s="35">
        <f t="shared" si="65"/>
        <v>2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1428.9099892151255</v>
      </c>
      <c r="V78" s="57">
        <v>0</v>
      </c>
      <c r="W78" s="57">
        <v>0</v>
      </c>
      <c r="X78" s="61">
        <f t="shared" si="56"/>
        <v>2</v>
      </c>
      <c r="Y78" s="40">
        <f t="shared" si="66"/>
        <v>0</v>
      </c>
      <c r="Z78" s="40">
        <f t="shared" si="67"/>
        <v>0</v>
      </c>
      <c r="AA78" s="44">
        <f t="shared" si="68"/>
        <v>2857.819978430251</v>
      </c>
      <c r="AB78" s="35">
        <f t="shared" si="69"/>
        <v>2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1535.7193900796008</v>
      </c>
      <c r="AD78" s="57">
        <v>0</v>
      </c>
      <c r="AE78" s="57">
        <v>0</v>
      </c>
      <c r="AF78" s="61">
        <f t="shared" si="57"/>
        <v>2</v>
      </c>
      <c r="AG78" s="40">
        <f t="shared" si="70"/>
        <v>0</v>
      </c>
      <c r="AH78" s="40">
        <f t="shared" si="71"/>
        <v>0</v>
      </c>
      <c r="AI78" s="44">
        <f t="shared" si="72"/>
        <v>3071.4387801592015</v>
      </c>
      <c r="AJ78" s="35">
        <f t="shared" si="58"/>
        <v>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1647.3955569747325</v>
      </c>
      <c r="AL78" s="57">
        <v>0</v>
      </c>
      <c r="AM78" s="57">
        <v>0</v>
      </c>
      <c r="AN78" s="61">
        <f t="shared" si="59"/>
        <v>2</v>
      </c>
      <c r="AO78" s="40">
        <f t="shared" si="73"/>
        <v>0</v>
      </c>
      <c r="AP78" s="40">
        <f t="shared" si="74"/>
        <v>0</v>
      </c>
      <c r="AQ78" s="44">
        <f t="shared" si="75"/>
        <v>3294.7911139494649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5745.0542100000002</v>
      </c>
      <c r="H79" s="35">
        <f t="shared" si="60"/>
        <v>1915.0180700000001</v>
      </c>
      <c r="I79" s="187">
        <v>3</v>
      </c>
      <c r="J79" s="212">
        <v>5745.0542100000002</v>
      </c>
      <c r="K79" s="217">
        <f t="shared" si="61"/>
        <v>1915.0180700000001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2007.6926028971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6023.0778086912997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2159.8674782999087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6479.6024348997262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2321.384532537616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6964.153597612848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2490.268039270281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7470.8041178108433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268</v>
      </c>
      <c r="G84" s="41">
        <f>SUM(G64:G83)</f>
        <v>120486.47022</v>
      </c>
      <c r="H84" s="41">
        <f>IFERROR(G84/F84,0)</f>
        <v>449.57638141791045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265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114299.70457000002</v>
      </c>
      <c r="K84" s="41">
        <f>IFERROR(J84/I84,"")</f>
        <v>431.31963988679252</v>
      </c>
      <c r="L84" s="41">
        <f>SUM(L64:L83)</f>
        <v>265</v>
      </c>
      <c r="M84" s="41">
        <f>IFERROR(S84/P84,0)</f>
        <v>461.46170531243604</v>
      </c>
      <c r="N84" s="41">
        <f t="shared" ref="N84:T84" si="98">SUM(N64:N83)</f>
        <v>9</v>
      </c>
      <c r="O84" s="41">
        <f t="shared" si="98"/>
        <v>2</v>
      </c>
      <c r="P84" s="41">
        <f t="shared" si="98"/>
        <v>272</v>
      </c>
      <c r="Q84" s="41">
        <f t="shared" si="98"/>
        <v>4240.1536915901152</v>
      </c>
      <c r="R84" s="41">
        <f t="shared" si="98"/>
        <v>-795.17290119344011</v>
      </c>
      <c r="S84" s="45">
        <f t="shared" si="98"/>
        <v>125517.5838449826</v>
      </c>
      <c r="T84" s="41">
        <f t="shared" si="98"/>
        <v>272</v>
      </c>
      <c r="U84" s="41">
        <f>IFERROR(AA84/X84,0)</f>
        <v>499.57007214015226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272</v>
      </c>
      <c r="Y84" s="41">
        <f t="shared" si="99"/>
        <v>0</v>
      </c>
      <c r="Z84" s="41">
        <f t="shared" si="99"/>
        <v>0</v>
      </c>
      <c r="AA84" s="45">
        <f t="shared" si="99"/>
        <v>135883.05962212142</v>
      </c>
      <c r="AB84" s="41">
        <f t="shared" si="99"/>
        <v>272</v>
      </c>
      <c r="AC84" s="41">
        <f>IFERROR(AI84/AF84,0)</f>
        <v>540.32730001969344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272</v>
      </c>
      <c r="AG84" s="41">
        <f t="shared" si="100"/>
        <v>0</v>
      </c>
      <c r="AH84" s="41">
        <f t="shared" si="100"/>
        <v>0</v>
      </c>
      <c r="AI84" s="45">
        <f t="shared" si="100"/>
        <v>146969.02560535661</v>
      </c>
      <c r="AJ84" s="41">
        <f t="shared" si="100"/>
        <v>272</v>
      </c>
      <c r="AK84" s="41">
        <f>IFERROR(AQ84/AN84,0)</f>
        <v>600.40699439115963</v>
      </c>
      <c r="AL84" s="41">
        <f t="shared" ref="AL84:AQ84" si="101">SUM(AL64:AL83)</f>
        <v>0</v>
      </c>
      <c r="AM84" s="41">
        <f t="shared" si="101"/>
        <v>9</v>
      </c>
      <c r="AN84" s="41">
        <f t="shared" si="101"/>
        <v>263</v>
      </c>
      <c r="AO84" s="41">
        <f t="shared" si="101"/>
        <v>0</v>
      </c>
      <c r="AP84" s="41">
        <f t="shared" si="101"/>
        <v>-756.77949266128564</v>
      </c>
      <c r="AQ84" s="45">
        <f t="shared" si="101"/>
        <v>157907.03952487497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130408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133001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138279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148788.204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4890.4161550174031</v>
      </c>
      <c r="T86" s="39"/>
      <c r="U86" s="39"/>
      <c r="V86" s="53"/>
      <c r="W86" s="53"/>
      <c r="X86" s="110"/>
      <c r="Y86" s="39"/>
      <c r="Z86" s="39"/>
      <c r="AA86" s="54">
        <f>AA85-AA84</f>
        <v>-2882.0596221214219</v>
      </c>
      <c r="AB86" s="39"/>
      <c r="AC86" s="53"/>
      <c r="AD86" s="53"/>
      <c r="AE86" s="110"/>
      <c r="AF86" s="39"/>
      <c r="AG86" s="39"/>
      <c r="AH86" s="39"/>
      <c r="AI86" s="54">
        <f>AI85-AI84</f>
        <v>-8690.0256053566118</v>
      </c>
      <c r="AJ86" s="53"/>
      <c r="AK86" s="53"/>
      <c r="AL86" s="110"/>
      <c r="AM86" s="110"/>
      <c r="AN86" s="110"/>
      <c r="AO86" s="110"/>
      <c r="AP86" s="111"/>
      <c r="AQ86" s="54">
        <f>AQ85-AQ84</f>
        <v>-9118.8355248749722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Tourism Policy and Planning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10</v>
      </c>
      <c r="G97" s="35">
        <f>SUMIFS(WORKING!$AC$3:$AC$6802,WORKING!$A$3:$A$6802,Results!$D$3,WORKING!$B$3:$B$6802,Results!A97,WORKING!$C$3:$C$6802,Results!C97)/1000</f>
        <v>1658.1753700000002</v>
      </c>
      <c r="H97" s="35">
        <f t="shared" si="108"/>
        <v>165.81753700000002</v>
      </c>
      <c r="I97" s="187">
        <v>7</v>
      </c>
      <c r="J97" s="212">
        <v>1658.1753700000002</v>
      </c>
      <c r="K97" s="217">
        <f t="shared" si="109"/>
        <v>236.88219571428573</v>
      </c>
      <c r="L97" s="34">
        <f t="shared" si="102"/>
        <v>7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258.01508569965051</v>
      </c>
      <c r="N97" s="57">
        <v>0</v>
      </c>
      <c r="O97" s="57">
        <v>0</v>
      </c>
      <c r="P97" s="61">
        <f t="shared" si="103"/>
        <v>7</v>
      </c>
      <c r="Q97" s="40">
        <f t="shared" si="110"/>
        <v>0</v>
      </c>
      <c r="R97" s="40">
        <f t="shared" si="111"/>
        <v>0</v>
      </c>
      <c r="S97" s="44">
        <f t="shared" si="112"/>
        <v>1806.1055998975535</v>
      </c>
      <c r="T97" s="35">
        <f t="shared" si="113"/>
        <v>7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280.00054955080981</v>
      </c>
      <c r="V97" s="57">
        <v>0</v>
      </c>
      <c r="W97" s="57">
        <v>1</v>
      </c>
      <c r="X97" s="61">
        <f t="shared" si="104"/>
        <v>6</v>
      </c>
      <c r="Y97" s="40">
        <f t="shared" si="114"/>
        <v>0</v>
      </c>
      <c r="Z97" s="40">
        <f t="shared" si="115"/>
        <v>-280.00054955080981</v>
      </c>
      <c r="AA97" s="44">
        <f t="shared" si="116"/>
        <v>1680.0032973048587</v>
      </c>
      <c r="AB97" s="35">
        <f t="shared" si="117"/>
        <v>6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303.57551614261916</v>
      </c>
      <c r="AD97" s="57">
        <v>0</v>
      </c>
      <c r="AE97" s="57">
        <v>0</v>
      </c>
      <c r="AF97" s="61">
        <f t="shared" si="105"/>
        <v>6</v>
      </c>
      <c r="AG97" s="40">
        <f t="shared" si="118"/>
        <v>0</v>
      </c>
      <c r="AH97" s="40">
        <f t="shared" si="119"/>
        <v>0</v>
      </c>
      <c r="AI97" s="44">
        <f t="shared" si="120"/>
        <v>1821.4530968557151</v>
      </c>
      <c r="AJ97" s="35">
        <f t="shared" si="106"/>
        <v>6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328.51984407147671</v>
      </c>
      <c r="AL97" s="57">
        <v>0</v>
      </c>
      <c r="AM97" s="57">
        <v>0</v>
      </c>
      <c r="AN97" s="61">
        <f t="shared" si="107"/>
        <v>6</v>
      </c>
      <c r="AO97" s="40">
        <f t="shared" si="121"/>
        <v>0</v>
      </c>
      <c r="AP97" s="40">
        <f t="shared" si="122"/>
        <v>0</v>
      </c>
      <c r="AQ97" s="44">
        <f t="shared" si="123"/>
        <v>1971.1190644288604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7</v>
      </c>
      <c r="G98" s="35">
        <f>SUMIFS(WORKING!$AC$3:$AC$6802,WORKING!$A$3:$A$6802,Results!$D$3,WORKING!$B$3:$B$6802,Results!A98,WORKING!$C$3:$C$6802,Results!C98)/1000</f>
        <v>2152.0141600000002</v>
      </c>
      <c r="H98" s="35">
        <f t="shared" si="108"/>
        <v>307.43059428571434</v>
      </c>
      <c r="I98" s="187">
        <v>7</v>
      </c>
      <c r="J98" s="212">
        <v>2152.0141600000002</v>
      </c>
      <c r="K98" s="217">
        <f t="shared" si="109"/>
        <v>307.43059428571434</v>
      </c>
      <c r="L98" s="34">
        <f t="shared" si="102"/>
        <v>7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334.5524020922312</v>
      </c>
      <c r="N98" s="57">
        <v>1</v>
      </c>
      <c r="O98" s="57">
        <v>0</v>
      </c>
      <c r="P98" s="61">
        <f t="shared" si="103"/>
        <v>8</v>
      </c>
      <c r="Q98" s="40">
        <f t="shared" si="110"/>
        <v>334.5524020922312</v>
      </c>
      <c r="R98" s="40">
        <f t="shared" si="111"/>
        <v>0</v>
      </c>
      <c r="S98" s="44">
        <f t="shared" si="112"/>
        <v>2676.4192167378496</v>
      </c>
      <c r="T98" s="35">
        <f t="shared" si="113"/>
        <v>8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362.96627684795334</v>
      </c>
      <c r="V98" s="57">
        <v>0</v>
      </c>
      <c r="W98" s="57">
        <v>0</v>
      </c>
      <c r="X98" s="61">
        <f t="shared" si="104"/>
        <v>8</v>
      </c>
      <c r="Y98" s="40">
        <f t="shared" si="114"/>
        <v>0</v>
      </c>
      <c r="Z98" s="40">
        <f t="shared" si="115"/>
        <v>0</v>
      </c>
      <c r="AA98" s="44">
        <f t="shared" si="116"/>
        <v>2903.7302147836267</v>
      </c>
      <c r="AB98" s="35">
        <f t="shared" si="117"/>
        <v>8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393.42545333889359</v>
      </c>
      <c r="AD98" s="57">
        <v>0</v>
      </c>
      <c r="AE98" s="57">
        <v>0</v>
      </c>
      <c r="AF98" s="61">
        <f t="shared" si="105"/>
        <v>8</v>
      </c>
      <c r="AG98" s="40">
        <f t="shared" si="118"/>
        <v>0</v>
      </c>
      <c r="AH98" s="40">
        <f t="shared" si="119"/>
        <v>0</v>
      </c>
      <c r="AI98" s="44">
        <f t="shared" si="120"/>
        <v>3147.4036267111487</v>
      </c>
      <c r="AJ98" s="35">
        <f t="shared" si="106"/>
        <v>8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425.64309965472677</v>
      </c>
      <c r="AL98" s="57">
        <v>0</v>
      </c>
      <c r="AM98" s="57">
        <v>0</v>
      </c>
      <c r="AN98" s="61">
        <f t="shared" si="107"/>
        <v>8</v>
      </c>
      <c r="AO98" s="40">
        <f t="shared" si="121"/>
        <v>0</v>
      </c>
      <c r="AP98" s="40">
        <f t="shared" si="122"/>
        <v>0</v>
      </c>
      <c r="AQ98" s="44">
        <f t="shared" si="123"/>
        <v>3405.1447972378141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11</v>
      </c>
      <c r="G99" s="35">
        <f>SUMIFS(WORKING!$AC$3:$AC$6802,WORKING!$A$3:$A$6802,Results!$D$3,WORKING!$B$3:$B$6802,Results!A99,WORKING!$C$3:$C$6802,Results!C99)/1000</f>
        <v>3725.5314400000002</v>
      </c>
      <c r="H99" s="35">
        <f t="shared" si="108"/>
        <v>338.68467636363636</v>
      </c>
      <c r="I99" s="187">
        <v>11</v>
      </c>
      <c r="J99" s="212">
        <v>3725.5314400000002</v>
      </c>
      <c r="K99" s="217">
        <f t="shared" si="109"/>
        <v>338.68467636363636</v>
      </c>
      <c r="L99" s="34">
        <f t="shared" si="102"/>
        <v>11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368.98178009075031</v>
      </c>
      <c r="N99" s="57">
        <v>1</v>
      </c>
      <c r="O99" s="57">
        <v>0</v>
      </c>
      <c r="P99" s="61">
        <f t="shared" si="103"/>
        <v>12</v>
      </c>
      <c r="Q99" s="40">
        <f t="shared" si="110"/>
        <v>368.98178009075031</v>
      </c>
      <c r="R99" s="40">
        <f t="shared" si="111"/>
        <v>0</v>
      </c>
      <c r="S99" s="44">
        <f t="shared" si="112"/>
        <v>4427.7813610890034</v>
      </c>
      <c r="T99" s="35">
        <f t="shared" si="113"/>
        <v>12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400.4499607768758</v>
      </c>
      <c r="V99" s="57">
        <v>0</v>
      </c>
      <c r="W99" s="57">
        <v>2</v>
      </c>
      <c r="X99" s="61">
        <f t="shared" si="104"/>
        <v>10</v>
      </c>
      <c r="Y99" s="40">
        <f t="shared" si="114"/>
        <v>0</v>
      </c>
      <c r="Z99" s="40">
        <f t="shared" si="115"/>
        <v>-800.8999215537516</v>
      </c>
      <c r="AA99" s="44">
        <f t="shared" si="116"/>
        <v>4004.4996077687579</v>
      </c>
      <c r="AB99" s="35">
        <f t="shared" si="117"/>
        <v>10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434.19577298712051</v>
      </c>
      <c r="AD99" s="57">
        <v>0</v>
      </c>
      <c r="AE99" s="57">
        <v>0</v>
      </c>
      <c r="AF99" s="61">
        <f t="shared" si="105"/>
        <v>10</v>
      </c>
      <c r="AG99" s="40">
        <f t="shared" si="118"/>
        <v>0</v>
      </c>
      <c r="AH99" s="40">
        <f t="shared" si="119"/>
        <v>0</v>
      </c>
      <c r="AI99" s="44">
        <f t="shared" si="120"/>
        <v>4341.9577298712047</v>
      </c>
      <c r="AJ99" s="35">
        <f t="shared" si="106"/>
        <v>10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469.90470161667361</v>
      </c>
      <c r="AL99" s="57">
        <v>0</v>
      </c>
      <c r="AM99" s="57">
        <v>0</v>
      </c>
      <c r="AN99" s="61">
        <f t="shared" si="107"/>
        <v>10</v>
      </c>
      <c r="AO99" s="40">
        <f t="shared" si="121"/>
        <v>0</v>
      </c>
      <c r="AP99" s="40">
        <f t="shared" si="122"/>
        <v>0</v>
      </c>
      <c r="AQ99" s="44">
        <f t="shared" si="123"/>
        <v>4699.0470161667363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19</v>
      </c>
      <c r="G100" s="35">
        <f>SUMIFS(WORKING!$AC$3:$AC$6802,WORKING!$A$3:$A$6802,Results!$D$3,WORKING!$B$3:$B$6802,Results!A100,WORKING!$C$3:$C$6802,Results!C100)/1000</f>
        <v>6843.0135399999999</v>
      </c>
      <c r="H100" s="35">
        <f t="shared" si="108"/>
        <v>360.15860736842103</v>
      </c>
      <c r="I100" s="187">
        <v>18</v>
      </c>
      <c r="J100" s="212">
        <v>6483.0135399999999</v>
      </c>
      <c r="K100" s="217">
        <f t="shared" si="109"/>
        <v>360.1674188888889</v>
      </c>
      <c r="L100" s="34">
        <f t="shared" si="102"/>
        <v>18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392.36897319421212</v>
      </c>
      <c r="N100" s="57">
        <v>1</v>
      </c>
      <c r="O100" s="57">
        <v>1</v>
      </c>
      <c r="P100" s="61">
        <f t="shared" si="103"/>
        <v>18</v>
      </c>
      <c r="Q100" s="40">
        <f t="shared" si="110"/>
        <v>392.36897319421212</v>
      </c>
      <c r="R100" s="40">
        <f t="shared" si="111"/>
        <v>-392.36897319421212</v>
      </c>
      <c r="S100" s="44">
        <f t="shared" si="112"/>
        <v>7062.6415174958183</v>
      </c>
      <c r="T100" s="35">
        <f t="shared" si="113"/>
        <v>18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425.82758559469482</v>
      </c>
      <c r="V100" s="57">
        <v>0</v>
      </c>
      <c r="W100" s="57">
        <v>0</v>
      </c>
      <c r="X100" s="61">
        <f t="shared" si="104"/>
        <v>18</v>
      </c>
      <c r="Y100" s="40">
        <f t="shared" si="114"/>
        <v>0</v>
      </c>
      <c r="Z100" s="40">
        <f t="shared" si="115"/>
        <v>0</v>
      </c>
      <c r="AA100" s="44">
        <f t="shared" si="116"/>
        <v>7664.8965407045071</v>
      </c>
      <c r="AB100" s="35">
        <f t="shared" si="117"/>
        <v>18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461.70744330583943</v>
      </c>
      <c r="AD100" s="57">
        <v>0</v>
      </c>
      <c r="AE100" s="57">
        <v>0</v>
      </c>
      <c r="AF100" s="61">
        <f t="shared" si="105"/>
        <v>18</v>
      </c>
      <c r="AG100" s="40">
        <f t="shared" si="118"/>
        <v>0</v>
      </c>
      <c r="AH100" s="40">
        <f t="shared" si="119"/>
        <v>0</v>
      </c>
      <c r="AI100" s="44">
        <f t="shared" si="120"/>
        <v>8310.7339795051103</v>
      </c>
      <c r="AJ100" s="35">
        <f t="shared" si="106"/>
        <v>18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499.67396165462912</v>
      </c>
      <c r="AL100" s="57">
        <v>0</v>
      </c>
      <c r="AM100" s="57">
        <v>0</v>
      </c>
      <c r="AN100" s="61">
        <f t="shared" si="107"/>
        <v>18</v>
      </c>
      <c r="AO100" s="40">
        <f t="shared" si="121"/>
        <v>0</v>
      </c>
      <c r="AP100" s="40">
        <f t="shared" si="122"/>
        <v>0</v>
      </c>
      <c r="AQ100" s="44">
        <f t="shared" si="123"/>
        <v>8994.1313097833245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</v>
      </c>
      <c r="G101" s="35">
        <f>SUMIFS(WORKING!$AC$3:$AC$6802,WORKING!$A$3:$A$6802,Results!$D$3,WORKING!$B$3:$B$6802,Results!A101,WORKING!$C$3:$C$6802,Results!C101)/1000</f>
        <v>512.5087400000001</v>
      </c>
      <c r="H101" s="35">
        <f t="shared" si="108"/>
        <v>512.5087400000001</v>
      </c>
      <c r="I101" s="187">
        <v>1</v>
      </c>
      <c r="J101" s="212">
        <v>512.5087400000001</v>
      </c>
      <c r="K101" s="217">
        <f t="shared" si="109"/>
        <v>512.5087400000001</v>
      </c>
      <c r="L101" s="34">
        <f t="shared" si="102"/>
        <v>1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558.42748634845475</v>
      </c>
      <c r="N101" s="57">
        <v>0</v>
      </c>
      <c r="O101" s="57">
        <v>0</v>
      </c>
      <c r="P101" s="61">
        <f t="shared" si="103"/>
        <v>1</v>
      </c>
      <c r="Q101" s="40">
        <f t="shared" si="110"/>
        <v>0</v>
      </c>
      <c r="R101" s="40">
        <f t="shared" si="111"/>
        <v>0</v>
      </c>
      <c r="S101" s="44">
        <f t="shared" si="112"/>
        <v>558.42748634845475</v>
      </c>
      <c r="T101" s="35">
        <f t="shared" si="113"/>
        <v>1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606.07275151716772</v>
      </c>
      <c r="V101" s="57">
        <v>0</v>
      </c>
      <c r="W101" s="57">
        <v>0</v>
      </c>
      <c r="X101" s="61">
        <f t="shared" si="104"/>
        <v>1</v>
      </c>
      <c r="Y101" s="40">
        <f t="shared" si="114"/>
        <v>0</v>
      </c>
      <c r="Z101" s="40">
        <f t="shared" si="115"/>
        <v>0</v>
      </c>
      <c r="AA101" s="44">
        <f t="shared" si="116"/>
        <v>606.07275151716772</v>
      </c>
      <c r="AB101" s="35">
        <f t="shared" si="117"/>
        <v>1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657.16861317567566</v>
      </c>
      <c r="AD101" s="57">
        <v>0</v>
      </c>
      <c r="AE101" s="57">
        <v>0</v>
      </c>
      <c r="AF101" s="61">
        <f t="shared" si="105"/>
        <v>1</v>
      </c>
      <c r="AG101" s="40">
        <f t="shared" si="118"/>
        <v>0</v>
      </c>
      <c r="AH101" s="40">
        <f t="shared" si="119"/>
        <v>0</v>
      </c>
      <c r="AI101" s="44">
        <f t="shared" si="120"/>
        <v>657.16861317567566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711.23953693516671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711.23953693516671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13</v>
      </c>
      <c r="G102" s="35">
        <f>SUMIFS(WORKING!$AC$3:$AC$6802,WORKING!$A$3:$A$6802,Results!$D$3,WORKING!$B$3:$B$6802,Results!A102,WORKING!$C$3:$C$6802,Results!C102)/1000</f>
        <v>7558.2640100000017</v>
      </c>
      <c r="H102" s="35">
        <f t="shared" si="108"/>
        <v>581.40492384615402</v>
      </c>
      <c r="I102" s="187">
        <v>13</v>
      </c>
      <c r="J102" s="212">
        <v>7558.2640100000017</v>
      </c>
      <c r="K102" s="217">
        <f t="shared" si="109"/>
        <v>581.40492384615402</v>
      </c>
      <c r="L102" s="34">
        <f t="shared" si="102"/>
        <v>13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634.67812079098485</v>
      </c>
      <c r="N102" s="57">
        <v>0</v>
      </c>
      <c r="O102" s="57">
        <v>0</v>
      </c>
      <c r="P102" s="61">
        <f t="shared" si="103"/>
        <v>13</v>
      </c>
      <c r="Q102" s="40">
        <f t="shared" si="110"/>
        <v>0</v>
      </c>
      <c r="R102" s="40">
        <f t="shared" si="111"/>
        <v>0</v>
      </c>
      <c r="S102" s="44">
        <f t="shared" si="112"/>
        <v>8250.8155702828026</v>
      </c>
      <c r="T102" s="35">
        <f t="shared" si="113"/>
        <v>13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688.96927586985328</v>
      </c>
      <c r="V102" s="57">
        <v>0</v>
      </c>
      <c r="W102" s="57">
        <v>0</v>
      </c>
      <c r="X102" s="61">
        <f t="shared" si="104"/>
        <v>13</v>
      </c>
      <c r="Y102" s="40">
        <f t="shared" si="114"/>
        <v>0</v>
      </c>
      <c r="Z102" s="40">
        <f t="shared" si="115"/>
        <v>0</v>
      </c>
      <c r="AA102" s="44">
        <f t="shared" si="116"/>
        <v>8956.6005863080918</v>
      </c>
      <c r="AB102" s="35">
        <f t="shared" si="117"/>
        <v>13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747.20558758638697</v>
      </c>
      <c r="AD102" s="57">
        <v>0</v>
      </c>
      <c r="AE102" s="57">
        <v>0</v>
      </c>
      <c r="AF102" s="61">
        <f t="shared" si="105"/>
        <v>13</v>
      </c>
      <c r="AG102" s="40">
        <f t="shared" si="118"/>
        <v>0</v>
      </c>
      <c r="AH102" s="40">
        <f t="shared" si="119"/>
        <v>0</v>
      </c>
      <c r="AI102" s="44">
        <f t="shared" si="120"/>
        <v>9713.6726386230312</v>
      </c>
      <c r="AJ102" s="35">
        <f t="shared" si="106"/>
        <v>13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808.84830681402855</v>
      </c>
      <c r="AL102" s="57">
        <v>0</v>
      </c>
      <c r="AM102" s="57">
        <v>0</v>
      </c>
      <c r="AN102" s="61">
        <f t="shared" si="107"/>
        <v>13</v>
      </c>
      <c r="AO102" s="40">
        <f t="shared" si="121"/>
        <v>0</v>
      </c>
      <c r="AP102" s="40">
        <f t="shared" si="122"/>
        <v>0</v>
      </c>
      <c r="AQ102" s="44">
        <f t="shared" si="123"/>
        <v>10515.027988582371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6</v>
      </c>
      <c r="G103" s="35">
        <f>SUMIFS(WORKING!$AC$3:$AC$6802,WORKING!$A$3:$A$6802,Results!$D$3,WORKING!$B$3:$B$6802,Results!A103,WORKING!$C$3:$C$6802,Results!C103)/1000</f>
        <v>4669.6117599999998</v>
      </c>
      <c r="H103" s="35">
        <f t="shared" si="108"/>
        <v>778.26862666666659</v>
      </c>
      <c r="I103" s="187">
        <v>5</v>
      </c>
      <c r="J103" s="212">
        <v>3891.6117599999898</v>
      </c>
      <c r="K103" s="217">
        <f t="shared" si="109"/>
        <v>778.32235199999798</v>
      </c>
      <c r="L103" s="34">
        <f t="shared" si="102"/>
        <v>5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849.83467127994174</v>
      </c>
      <c r="N103" s="57">
        <v>0</v>
      </c>
      <c r="O103" s="57">
        <v>0</v>
      </c>
      <c r="P103" s="61">
        <f t="shared" si="103"/>
        <v>5</v>
      </c>
      <c r="Q103" s="40">
        <f t="shared" si="110"/>
        <v>0</v>
      </c>
      <c r="R103" s="40">
        <f t="shared" si="111"/>
        <v>0</v>
      </c>
      <c r="S103" s="44">
        <f t="shared" si="112"/>
        <v>4249.1733563997086</v>
      </c>
      <c r="T103" s="35">
        <f t="shared" si="113"/>
        <v>5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922.74328669242993</v>
      </c>
      <c r="V103" s="57">
        <v>0</v>
      </c>
      <c r="W103" s="57">
        <v>0</v>
      </c>
      <c r="X103" s="61">
        <f t="shared" si="104"/>
        <v>5</v>
      </c>
      <c r="Y103" s="40">
        <f t="shared" si="114"/>
        <v>0</v>
      </c>
      <c r="Z103" s="40">
        <f t="shared" si="115"/>
        <v>0</v>
      </c>
      <c r="AA103" s="44">
        <f t="shared" si="116"/>
        <v>4613.7164334621493</v>
      </c>
      <c r="AB103" s="35">
        <f t="shared" si="117"/>
        <v>5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1000.9704821250773</v>
      </c>
      <c r="AD103" s="57">
        <v>0</v>
      </c>
      <c r="AE103" s="57">
        <v>0</v>
      </c>
      <c r="AF103" s="61">
        <f t="shared" si="105"/>
        <v>5</v>
      </c>
      <c r="AG103" s="40">
        <f t="shared" si="118"/>
        <v>0</v>
      </c>
      <c r="AH103" s="40">
        <f t="shared" si="119"/>
        <v>0</v>
      </c>
      <c r="AI103" s="44">
        <f t="shared" si="120"/>
        <v>5004.8524106253863</v>
      </c>
      <c r="AJ103" s="35">
        <f t="shared" si="106"/>
        <v>5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1083.7980400311737</v>
      </c>
      <c r="AL103" s="57">
        <v>0</v>
      </c>
      <c r="AM103" s="57">
        <v>0</v>
      </c>
      <c r="AN103" s="61">
        <f t="shared" si="107"/>
        <v>5</v>
      </c>
      <c r="AO103" s="40">
        <f t="shared" si="121"/>
        <v>0</v>
      </c>
      <c r="AP103" s="40">
        <f t="shared" si="122"/>
        <v>0</v>
      </c>
      <c r="AQ103" s="44">
        <f t="shared" si="123"/>
        <v>5418.9902001558685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8</v>
      </c>
      <c r="G104" s="35">
        <f>SUMIFS(WORKING!$AC$3:$AC$6802,WORKING!$A$3:$A$6802,Results!$D$3,WORKING!$B$3:$B$6802,Results!A104,WORKING!$C$3:$C$6802,Results!C104)/1000</f>
        <v>7994.0841200000004</v>
      </c>
      <c r="H104" s="35">
        <f t="shared" si="108"/>
        <v>999.26051500000005</v>
      </c>
      <c r="I104" s="187">
        <v>10</v>
      </c>
      <c r="J104" s="212">
        <v>9992.0841199999995</v>
      </c>
      <c r="K104" s="217">
        <f t="shared" si="109"/>
        <v>999.20841199999995</v>
      </c>
      <c r="L104" s="34">
        <f t="shared" si="102"/>
        <v>10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1047.3976342373576</v>
      </c>
      <c r="N104" s="57">
        <v>0</v>
      </c>
      <c r="O104" s="57">
        <v>0</v>
      </c>
      <c r="P104" s="61">
        <f t="shared" si="103"/>
        <v>10</v>
      </c>
      <c r="Q104" s="40">
        <f t="shared" si="110"/>
        <v>0</v>
      </c>
      <c r="R104" s="40">
        <f t="shared" si="111"/>
        <v>0</v>
      </c>
      <c r="S104" s="44">
        <f t="shared" si="112"/>
        <v>10473.976342373575</v>
      </c>
      <c r="T104" s="35">
        <f t="shared" si="113"/>
        <v>10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1126.6075035190963</v>
      </c>
      <c r="V104" s="57">
        <v>0</v>
      </c>
      <c r="W104" s="57">
        <v>0</v>
      </c>
      <c r="X104" s="61">
        <f t="shared" si="104"/>
        <v>10</v>
      </c>
      <c r="Y104" s="40">
        <f t="shared" si="114"/>
        <v>0</v>
      </c>
      <c r="Z104" s="40">
        <f t="shared" si="115"/>
        <v>0</v>
      </c>
      <c r="AA104" s="44">
        <f t="shared" si="116"/>
        <v>11266.075035190963</v>
      </c>
      <c r="AB104" s="35">
        <f t="shared" si="117"/>
        <v>10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1210.664436404119</v>
      </c>
      <c r="AD104" s="57">
        <v>0</v>
      </c>
      <c r="AE104" s="57">
        <v>0</v>
      </c>
      <c r="AF104" s="61">
        <f t="shared" si="105"/>
        <v>10</v>
      </c>
      <c r="AG104" s="40">
        <f t="shared" si="118"/>
        <v>0</v>
      </c>
      <c r="AH104" s="40">
        <f t="shared" si="119"/>
        <v>0</v>
      </c>
      <c r="AI104" s="44">
        <f t="shared" si="120"/>
        <v>12106.644364041189</v>
      </c>
      <c r="AJ104" s="35">
        <f t="shared" si="106"/>
        <v>10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1298.5358912355011</v>
      </c>
      <c r="AL104" s="57">
        <v>0</v>
      </c>
      <c r="AM104" s="57">
        <v>0</v>
      </c>
      <c r="AN104" s="61">
        <f t="shared" si="107"/>
        <v>10</v>
      </c>
      <c r="AO104" s="40">
        <f t="shared" si="121"/>
        <v>0</v>
      </c>
      <c r="AP104" s="40">
        <f t="shared" si="122"/>
        <v>0</v>
      </c>
      <c r="AQ104" s="44">
        <f t="shared" si="123"/>
        <v>12985.358912355012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3229.0338499999998</v>
      </c>
      <c r="H105" s="35">
        <f t="shared" si="108"/>
        <v>1076.3446166666665</v>
      </c>
      <c r="I105" s="187">
        <v>3</v>
      </c>
      <c r="J105" s="212">
        <v>3229.0338499999998</v>
      </c>
      <c r="K105" s="217">
        <f t="shared" si="109"/>
        <v>1076.3446166666665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1127.2040164456166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3381.6120493368499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1211.3210263817703</v>
      </c>
      <c r="V105" s="57">
        <v>0</v>
      </c>
      <c r="W105" s="57">
        <v>0</v>
      </c>
      <c r="X105" s="61">
        <f t="shared" si="104"/>
        <v>3</v>
      </c>
      <c r="Y105" s="40">
        <f t="shared" si="114"/>
        <v>0</v>
      </c>
      <c r="Z105" s="40">
        <f t="shared" si="115"/>
        <v>0</v>
      </c>
      <c r="AA105" s="44">
        <f t="shared" si="116"/>
        <v>3633.963079145311</v>
      </c>
      <c r="AB105" s="35">
        <f t="shared" si="117"/>
        <v>3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1300.4871909412063</v>
      </c>
      <c r="AD105" s="57">
        <v>0</v>
      </c>
      <c r="AE105" s="57">
        <v>0</v>
      </c>
      <c r="AF105" s="61">
        <f t="shared" si="105"/>
        <v>3</v>
      </c>
      <c r="AG105" s="40">
        <f t="shared" si="118"/>
        <v>0</v>
      </c>
      <c r="AH105" s="40">
        <f t="shared" si="119"/>
        <v>0</v>
      </c>
      <c r="AI105" s="44">
        <f t="shared" si="120"/>
        <v>3901.461572823619</v>
      </c>
      <c r="AJ105" s="35">
        <f t="shared" si="106"/>
        <v>3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1393.5800783316711</v>
      </c>
      <c r="AL105" s="57">
        <v>0</v>
      </c>
      <c r="AM105" s="57">
        <v>0</v>
      </c>
      <c r="AN105" s="61">
        <f t="shared" si="107"/>
        <v>3</v>
      </c>
      <c r="AO105" s="40">
        <f t="shared" si="121"/>
        <v>0</v>
      </c>
      <c r="AP105" s="40">
        <f t="shared" si="122"/>
        <v>0</v>
      </c>
      <c r="AQ105" s="44">
        <f t="shared" si="123"/>
        <v>4180.7402349950135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633.60711000000003</v>
      </c>
      <c r="H106" s="35">
        <f t="shared" si="108"/>
        <v>0</v>
      </c>
      <c r="I106" s="187">
        <v>1</v>
      </c>
      <c r="J106" s="212">
        <v>1326</v>
      </c>
      <c r="K106" s="217">
        <f t="shared" si="109"/>
        <v>1326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1390.303424734904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1390.303424734904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1495.8264376622583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1495.8264376622583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1607.8403072785186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1607.8403072785186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1724.9783400552544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1724.9783400552544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78</v>
      </c>
      <c r="G112" s="41">
        <f>SUM(G92:G111)</f>
        <v>38975.844100000002</v>
      </c>
      <c r="H112" s="41">
        <f>IFERROR(G112/F112,0)</f>
        <v>499.69030897435903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76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40528.23698999999</v>
      </c>
      <c r="K112" s="41">
        <f>IFERROR(J112/I112,"")</f>
        <v>533.26627618421037</v>
      </c>
      <c r="L112" s="41">
        <f>SUM(L92:L111)</f>
        <v>76</v>
      </c>
      <c r="M112" s="41">
        <f>IFERROR(S112/P112,0)</f>
        <v>567.65712723969898</v>
      </c>
      <c r="N112" s="41">
        <f t="shared" ref="N112:T112" si="124">SUM(N92:N111)</f>
        <v>3</v>
      </c>
      <c r="O112" s="41">
        <f t="shared" si="124"/>
        <v>1</v>
      </c>
      <c r="P112" s="41">
        <f t="shared" si="124"/>
        <v>78</v>
      </c>
      <c r="Q112" s="41">
        <f t="shared" si="124"/>
        <v>1095.9031553771938</v>
      </c>
      <c r="R112" s="41">
        <f t="shared" si="124"/>
        <v>-392.36897319421212</v>
      </c>
      <c r="S112" s="45">
        <f t="shared" si="124"/>
        <v>44277.255924696525</v>
      </c>
      <c r="T112" s="41">
        <f t="shared" si="124"/>
        <v>78</v>
      </c>
      <c r="U112" s="41">
        <f>IFERROR(AA112/X112,0)</f>
        <v>624.33845311796927</v>
      </c>
      <c r="V112" s="41">
        <f t="shared" ref="V112:AB112" si="125">SUM(V92:V111)</f>
        <v>0</v>
      </c>
      <c r="W112" s="41">
        <f t="shared" si="125"/>
        <v>3</v>
      </c>
      <c r="X112" s="41">
        <f t="shared" si="125"/>
        <v>75</v>
      </c>
      <c r="Y112" s="41">
        <f t="shared" si="125"/>
        <v>0</v>
      </c>
      <c r="Z112" s="41">
        <f t="shared" si="125"/>
        <v>-1080.9004711045613</v>
      </c>
      <c r="AA112" s="45">
        <f t="shared" si="125"/>
        <v>46825.383983847692</v>
      </c>
      <c r="AB112" s="41">
        <f t="shared" si="125"/>
        <v>75</v>
      </c>
      <c r="AC112" s="41">
        <f>IFERROR(AI112/AF112,0)</f>
        <v>674.84251119347459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75</v>
      </c>
      <c r="AG112" s="41">
        <f t="shared" si="126"/>
        <v>0</v>
      </c>
      <c r="AH112" s="41">
        <f t="shared" si="126"/>
        <v>0</v>
      </c>
      <c r="AI112" s="45">
        <f t="shared" si="126"/>
        <v>50613.188339510598</v>
      </c>
      <c r="AJ112" s="41">
        <f t="shared" si="126"/>
        <v>75</v>
      </c>
      <c r="AK112" s="41">
        <f>IFERROR(AQ112/AN112,0)</f>
        <v>728.07703200927222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75</v>
      </c>
      <c r="AO112" s="41">
        <f t="shared" si="127"/>
        <v>0</v>
      </c>
      <c r="AP112" s="41">
        <f t="shared" si="127"/>
        <v>0</v>
      </c>
      <c r="AQ112" s="45">
        <f t="shared" si="127"/>
        <v>54605.777400695413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42647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43536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45263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48702.988000000005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-1630.2559246965247</v>
      </c>
      <c r="T114" s="39"/>
      <c r="U114" s="39"/>
      <c r="V114" s="53"/>
      <c r="W114" s="53"/>
      <c r="X114" s="110"/>
      <c r="Y114" s="39"/>
      <c r="Z114" s="39"/>
      <c r="AA114" s="54">
        <f>AA113-AA112</f>
        <v>-3289.3839838476924</v>
      </c>
      <c r="AB114" s="39"/>
      <c r="AC114" s="53"/>
      <c r="AD114" s="53"/>
      <c r="AE114" s="110"/>
      <c r="AF114" s="39"/>
      <c r="AG114" s="39"/>
      <c r="AH114" s="39"/>
      <c r="AI114" s="54">
        <f>AI113-AI112</f>
        <v>-5350.1883395105979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-5902.7894006954084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Destination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7</v>
      </c>
      <c r="G125" s="35">
        <f>SUMIFS(WORKING!$AC$3:$AC$6802,WORKING!$A$3:$A$6802,Results!$D$3,WORKING!$B$3:$B$6802,Results!A125,WORKING!$C$3:$C$6802,Results!C125)/1000</f>
        <v>1611.7976400000002</v>
      </c>
      <c r="H125" s="35">
        <f t="shared" si="134"/>
        <v>230.25680571428575</v>
      </c>
      <c r="I125" s="187">
        <v>8</v>
      </c>
      <c r="J125" s="212">
        <v>1841.79764</v>
      </c>
      <c r="K125" s="217">
        <f t="shared" si="135"/>
        <v>230.224705</v>
      </c>
      <c r="L125" s="34">
        <f t="shared" si="128"/>
        <v>8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250.18731637972661</v>
      </c>
      <c r="N125" s="57">
        <v>0</v>
      </c>
      <c r="O125" s="57">
        <v>0</v>
      </c>
      <c r="P125" s="61">
        <f t="shared" si="129"/>
        <v>8</v>
      </c>
      <c r="Q125" s="40">
        <f t="shared" si="136"/>
        <v>0</v>
      </c>
      <c r="R125" s="40">
        <f t="shared" si="137"/>
        <v>0</v>
      </c>
      <c r="S125" s="44">
        <f t="shared" si="138"/>
        <v>2001.4985310378129</v>
      </c>
      <c r="T125" s="35">
        <f t="shared" si="139"/>
        <v>8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271.33060966259279</v>
      </c>
      <c r="V125" s="57">
        <v>0</v>
      </c>
      <c r="W125" s="57">
        <v>0</v>
      </c>
      <c r="X125" s="61">
        <f t="shared" si="130"/>
        <v>8</v>
      </c>
      <c r="Y125" s="40">
        <f t="shared" si="140"/>
        <v>0</v>
      </c>
      <c r="Z125" s="40">
        <f t="shared" si="141"/>
        <v>0</v>
      </c>
      <c r="AA125" s="44">
        <f t="shared" si="142"/>
        <v>2170.6448773007423</v>
      </c>
      <c r="AB125" s="35">
        <f t="shared" si="143"/>
        <v>8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293.98569382011306</v>
      </c>
      <c r="AD125" s="57">
        <v>0</v>
      </c>
      <c r="AE125" s="57">
        <v>0</v>
      </c>
      <c r="AF125" s="61">
        <f t="shared" si="131"/>
        <v>8</v>
      </c>
      <c r="AG125" s="40">
        <f t="shared" si="144"/>
        <v>0</v>
      </c>
      <c r="AH125" s="40">
        <f t="shared" si="145"/>
        <v>0</v>
      </c>
      <c r="AI125" s="44">
        <f t="shared" si="146"/>
        <v>2351.8855505609044</v>
      </c>
      <c r="AJ125" s="35">
        <f t="shared" si="132"/>
        <v>8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317.9364135098939</v>
      </c>
      <c r="AL125" s="57">
        <v>0</v>
      </c>
      <c r="AM125" s="57">
        <v>0</v>
      </c>
      <c r="AN125" s="61">
        <f t="shared" si="133"/>
        <v>8</v>
      </c>
      <c r="AO125" s="40">
        <f t="shared" si="147"/>
        <v>0</v>
      </c>
      <c r="AP125" s="40">
        <f t="shared" si="148"/>
        <v>0</v>
      </c>
      <c r="AQ125" s="44">
        <f t="shared" si="149"/>
        <v>2543.4913080791512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6</v>
      </c>
      <c r="G126" s="35">
        <f>SUMIFS(WORKING!$AC$3:$AC$6802,WORKING!$A$3:$A$6802,Results!$D$3,WORKING!$B$3:$B$6802,Results!A126,WORKING!$C$3:$C$6802,Results!C126)/1000</f>
        <v>1753.4281500000002</v>
      </c>
      <c r="H126" s="35">
        <f t="shared" si="134"/>
        <v>292.23802500000005</v>
      </c>
      <c r="I126" s="187">
        <v>6</v>
      </c>
      <c r="J126" s="212">
        <v>1753.4281500000002</v>
      </c>
      <c r="K126" s="217">
        <f t="shared" si="135"/>
        <v>292.23802500000005</v>
      </c>
      <c r="L126" s="34">
        <f t="shared" si="128"/>
        <v>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317.81337672393499</v>
      </c>
      <c r="N126" s="57">
        <v>0</v>
      </c>
      <c r="O126" s="57">
        <v>0</v>
      </c>
      <c r="P126" s="61">
        <f t="shared" si="129"/>
        <v>6</v>
      </c>
      <c r="Q126" s="40">
        <f t="shared" si="136"/>
        <v>0</v>
      </c>
      <c r="R126" s="40">
        <f t="shared" si="137"/>
        <v>0</v>
      </c>
      <c r="S126" s="44">
        <f t="shared" si="138"/>
        <v>1906.88026034361</v>
      </c>
      <c r="T126" s="35">
        <f t="shared" si="139"/>
        <v>6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344.74100113238978</v>
      </c>
      <c r="V126" s="57">
        <v>0</v>
      </c>
      <c r="W126" s="57">
        <v>0</v>
      </c>
      <c r="X126" s="61">
        <f t="shared" si="130"/>
        <v>6</v>
      </c>
      <c r="Y126" s="40">
        <f t="shared" si="140"/>
        <v>0</v>
      </c>
      <c r="Z126" s="40">
        <f t="shared" si="141"/>
        <v>0</v>
      </c>
      <c r="AA126" s="44">
        <f t="shared" si="142"/>
        <v>2068.4460067943387</v>
      </c>
      <c r="AB126" s="35">
        <f t="shared" si="143"/>
        <v>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373.60081590950426</v>
      </c>
      <c r="AD126" s="57">
        <v>0</v>
      </c>
      <c r="AE126" s="57">
        <v>0</v>
      </c>
      <c r="AF126" s="61">
        <f t="shared" si="131"/>
        <v>6</v>
      </c>
      <c r="AG126" s="40">
        <f t="shared" si="144"/>
        <v>0</v>
      </c>
      <c r="AH126" s="40">
        <f t="shared" si="145"/>
        <v>0</v>
      </c>
      <c r="AI126" s="44">
        <f t="shared" si="146"/>
        <v>2241.6048954570256</v>
      </c>
      <c r="AJ126" s="35">
        <f t="shared" si="132"/>
        <v>6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404.11947222788325</v>
      </c>
      <c r="AL126" s="57">
        <v>0</v>
      </c>
      <c r="AM126" s="57">
        <v>0</v>
      </c>
      <c r="AN126" s="61">
        <f t="shared" si="133"/>
        <v>6</v>
      </c>
      <c r="AO126" s="40">
        <f t="shared" si="147"/>
        <v>0</v>
      </c>
      <c r="AP126" s="40">
        <f t="shared" si="148"/>
        <v>0</v>
      </c>
      <c r="AQ126" s="44">
        <f t="shared" si="149"/>
        <v>2424.7168333672994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5</v>
      </c>
      <c r="G127" s="35">
        <f>SUMIFS(WORKING!$AC$3:$AC$6802,WORKING!$A$3:$A$6802,Results!$D$3,WORKING!$B$3:$B$6802,Results!A127,WORKING!$C$3:$C$6802,Results!C127)/1000</f>
        <v>1654.4676899999999</v>
      </c>
      <c r="H127" s="35">
        <f t="shared" si="134"/>
        <v>330.89353799999998</v>
      </c>
      <c r="I127" s="187">
        <v>5</v>
      </c>
      <c r="J127" s="212">
        <v>1654.4676899999999</v>
      </c>
      <c r="K127" s="217">
        <f t="shared" si="135"/>
        <v>330.89353799999998</v>
      </c>
      <c r="L127" s="34">
        <f t="shared" si="128"/>
        <v>5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360.22165466930431</v>
      </c>
      <c r="N127" s="57">
        <v>0</v>
      </c>
      <c r="O127" s="57">
        <v>0</v>
      </c>
      <c r="P127" s="61">
        <f t="shared" si="129"/>
        <v>5</v>
      </c>
      <c r="Q127" s="40">
        <f t="shared" si="136"/>
        <v>0</v>
      </c>
      <c r="R127" s="40">
        <f t="shared" si="137"/>
        <v>0</v>
      </c>
      <c r="S127" s="44">
        <f t="shared" si="138"/>
        <v>1801.1082733465216</v>
      </c>
      <c r="T127" s="35">
        <f t="shared" si="139"/>
        <v>5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390.85695657338329</v>
      </c>
      <c r="V127" s="57">
        <v>0</v>
      </c>
      <c r="W127" s="57">
        <v>0</v>
      </c>
      <c r="X127" s="61">
        <f t="shared" si="130"/>
        <v>5</v>
      </c>
      <c r="Y127" s="40">
        <f t="shared" si="140"/>
        <v>0</v>
      </c>
      <c r="Z127" s="40">
        <f t="shared" si="141"/>
        <v>0</v>
      </c>
      <c r="AA127" s="44">
        <f t="shared" si="142"/>
        <v>1954.2847828669164</v>
      </c>
      <c r="AB127" s="35">
        <f t="shared" si="143"/>
        <v>5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423.70147847739293</v>
      </c>
      <c r="AD127" s="57">
        <v>0</v>
      </c>
      <c r="AE127" s="57">
        <v>0</v>
      </c>
      <c r="AF127" s="61">
        <f t="shared" si="131"/>
        <v>5</v>
      </c>
      <c r="AG127" s="40">
        <f t="shared" si="144"/>
        <v>0</v>
      </c>
      <c r="AH127" s="40">
        <f t="shared" si="145"/>
        <v>0</v>
      </c>
      <c r="AI127" s="44">
        <f t="shared" si="146"/>
        <v>2118.5073923869645</v>
      </c>
      <c r="AJ127" s="35">
        <f t="shared" si="132"/>
        <v>5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458.44704877485941</v>
      </c>
      <c r="AL127" s="57">
        <v>0</v>
      </c>
      <c r="AM127" s="57">
        <v>0</v>
      </c>
      <c r="AN127" s="61">
        <f t="shared" si="133"/>
        <v>5</v>
      </c>
      <c r="AO127" s="40">
        <f t="shared" si="147"/>
        <v>0</v>
      </c>
      <c r="AP127" s="40">
        <f t="shared" si="148"/>
        <v>0</v>
      </c>
      <c r="AQ127" s="44">
        <f t="shared" si="149"/>
        <v>2292.2352438742969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9</v>
      </c>
      <c r="G128" s="35">
        <f>SUMIFS(WORKING!$AC$3:$AC$6802,WORKING!$A$3:$A$6802,Results!$D$3,WORKING!$B$3:$B$6802,Results!A128,WORKING!$C$3:$C$6802,Results!C128)/1000</f>
        <v>3243.4600599999999</v>
      </c>
      <c r="H128" s="35">
        <f t="shared" si="134"/>
        <v>360.3844511111111</v>
      </c>
      <c r="I128" s="187">
        <v>9</v>
      </c>
      <c r="J128" s="212">
        <v>3243.4600599999999</v>
      </c>
      <c r="K128" s="217">
        <f t="shared" si="135"/>
        <v>360.3844511111111</v>
      </c>
      <c r="L128" s="34">
        <f t="shared" si="128"/>
        <v>9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392.61603758586585</v>
      </c>
      <c r="N128" s="57">
        <v>0</v>
      </c>
      <c r="O128" s="57">
        <v>0</v>
      </c>
      <c r="P128" s="61">
        <f t="shared" si="129"/>
        <v>9</v>
      </c>
      <c r="Q128" s="40">
        <f t="shared" si="136"/>
        <v>0</v>
      </c>
      <c r="R128" s="40">
        <f t="shared" si="137"/>
        <v>0</v>
      </c>
      <c r="S128" s="44">
        <f t="shared" si="138"/>
        <v>3533.5443382727926</v>
      </c>
      <c r="T128" s="35">
        <f t="shared" si="139"/>
        <v>9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426.09896127485342</v>
      </c>
      <c r="V128" s="57">
        <v>0</v>
      </c>
      <c r="W128" s="57">
        <v>0</v>
      </c>
      <c r="X128" s="61">
        <f t="shared" si="130"/>
        <v>9</v>
      </c>
      <c r="Y128" s="40">
        <f t="shared" si="140"/>
        <v>0</v>
      </c>
      <c r="Z128" s="40">
        <f t="shared" si="141"/>
        <v>0</v>
      </c>
      <c r="AA128" s="44">
        <f t="shared" si="142"/>
        <v>3834.8906514736809</v>
      </c>
      <c r="AB128" s="35">
        <f t="shared" si="143"/>
        <v>9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462.00520201646123</v>
      </c>
      <c r="AD128" s="57">
        <v>0</v>
      </c>
      <c r="AE128" s="57">
        <v>0</v>
      </c>
      <c r="AF128" s="61">
        <f t="shared" si="131"/>
        <v>9</v>
      </c>
      <c r="AG128" s="40">
        <f t="shared" si="144"/>
        <v>0</v>
      </c>
      <c r="AH128" s="40">
        <f t="shared" si="145"/>
        <v>0</v>
      </c>
      <c r="AI128" s="44">
        <f t="shared" si="146"/>
        <v>4158.046818148151</v>
      </c>
      <c r="AJ128" s="35">
        <f t="shared" si="132"/>
        <v>9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500.00001290285508</v>
      </c>
      <c r="AL128" s="57">
        <v>0</v>
      </c>
      <c r="AM128" s="57">
        <v>0</v>
      </c>
      <c r="AN128" s="61">
        <f t="shared" si="133"/>
        <v>9</v>
      </c>
      <c r="AO128" s="40">
        <f t="shared" si="147"/>
        <v>0</v>
      </c>
      <c r="AP128" s="40">
        <f t="shared" si="148"/>
        <v>0</v>
      </c>
      <c r="AQ128" s="44">
        <f t="shared" si="149"/>
        <v>4500.000116125696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4</v>
      </c>
      <c r="G129" s="35">
        <f>SUMIFS(WORKING!$AC$3:$AC$6802,WORKING!$A$3:$A$6802,Results!$D$3,WORKING!$B$3:$B$6802,Results!A129,WORKING!$C$3:$C$6802,Results!C129)/1000</f>
        <v>1915.1152</v>
      </c>
      <c r="H129" s="35">
        <f t="shared" si="134"/>
        <v>478.77879999999999</v>
      </c>
      <c r="I129" s="187">
        <v>4</v>
      </c>
      <c r="J129" s="212">
        <v>1915.1152</v>
      </c>
      <c r="K129" s="217">
        <f t="shared" si="135"/>
        <v>478.77879999999999</v>
      </c>
      <c r="L129" s="34">
        <f t="shared" si="128"/>
        <v>4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522.04723075189577</v>
      </c>
      <c r="N129" s="57">
        <v>0</v>
      </c>
      <c r="O129" s="57">
        <v>0</v>
      </c>
      <c r="P129" s="61">
        <f t="shared" si="129"/>
        <v>4</v>
      </c>
      <c r="Q129" s="40">
        <f t="shared" si="136"/>
        <v>0</v>
      </c>
      <c r="R129" s="40">
        <f t="shared" si="137"/>
        <v>0</v>
      </c>
      <c r="S129" s="44">
        <f t="shared" si="138"/>
        <v>2088.1889230075831</v>
      </c>
      <c r="T129" s="35">
        <f t="shared" si="139"/>
        <v>4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566.70501714356135</v>
      </c>
      <c r="V129" s="57">
        <v>0</v>
      </c>
      <c r="W129" s="57">
        <v>0</v>
      </c>
      <c r="X129" s="61">
        <f t="shared" si="130"/>
        <v>4</v>
      </c>
      <c r="Y129" s="40">
        <f t="shared" si="140"/>
        <v>0</v>
      </c>
      <c r="Z129" s="40">
        <f t="shared" si="141"/>
        <v>0</v>
      </c>
      <c r="AA129" s="44">
        <f t="shared" si="142"/>
        <v>2266.8200685742454</v>
      </c>
      <c r="AB129" s="35">
        <f t="shared" si="143"/>
        <v>4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614.60819164671852</v>
      </c>
      <c r="AD129" s="57">
        <v>0</v>
      </c>
      <c r="AE129" s="57">
        <v>0</v>
      </c>
      <c r="AF129" s="61">
        <f t="shared" si="131"/>
        <v>4</v>
      </c>
      <c r="AG129" s="40">
        <f t="shared" si="144"/>
        <v>0</v>
      </c>
      <c r="AH129" s="40">
        <f t="shared" si="145"/>
        <v>0</v>
      </c>
      <c r="AI129" s="44">
        <f t="shared" si="146"/>
        <v>2458.4327665868741</v>
      </c>
      <c r="AJ129" s="35">
        <f t="shared" si="132"/>
        <v>4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665.31381582427662</v>
      </c>
      <c r="AL129" s="57">
        <v>0</v>
      </c>
      <c r="AM129" s="57">
        <v>0</v>
      </c>
      <c r="AN129" s="61">
        <f t="shared" si="133"/>
        <v>4</v>
      </c>
      <c r="AO129" s="40">
        <f t="shared" si="147"/>
        <v>0</v>
      </c>
      <c r="AP129" s="40">
        <f t="shared" si="148"/>
        <v>0</v>
      </c>
      <c r="AQ129" s="44">
        <f t="shared" si="149"/>
        <v>2661.2552632971065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19</v>
      </c>
      <c r="G130" s="35">
        <f>SUMIFS(WORKING!$AC$3:$AC$6802,WORKING!$A$3:$A$6802,Results!$D$3,WORKING!$B$3:$B$6802,Results!A130,WORKING!$C$3:$C$6802,Results!C130)/1000</f>
        <v>10836.435990000002</v>
      </c>
      <c r="H130" s="35">
        <f t="shared" si="134"/>
        <v>570.33873631578956</v>
      </c>
      <c r="I130" s="187">
        <v>18</v>
      </c>
      <c r="J130" s="212">
        <v>10266.43599</v>
      </c>
      <c r="K130" s="217">
        <f t="shared" si="135"/>
        <v>570.35755500000005</v>
      </c>
      <c r="L130" s="34">
        <f t="shared" si="128"/>
        <v>18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622.20777457818372</v>
      </c>
      <c r="N130" s="57">
        <v>0</v>
      </c>
      <c r="O130" s="57">
        <v>1</v>
      </c>
      <c r="P130" s="61">
        <f t="shared" si="129"/>
        <v>17</v>
      </c>
      <c r="Q130" s="40">
        <f t="shared" si="136"/>
        <v>0</v>
      </c>
      <c r="R130" s="40">
        <f t="shared" si="137"/>
        <v>-622.20777457818372</v>
      </c>
      <c r="S130" s="44">
        <f t="shared" si="138"/>
        <v>10577.532167829124</v>
      </c>
      <c r="T130" s="35">
        <f t="shared" si="139"/>
        <v>17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674.98663621382286</v>
      </c>
      <c r="V130" s="57">
        <v>0</v>
      </c>
      <c r="W130" s="57">
        <v>0</v>
      </c>
      <c r="X130" s="61">
        <f t="shared" si="130"/>
        <v>17</v>
      </c>
      <c r="Y130" s="40">
        <f t="shared" si="140"/>
        <v>0</v>
      </c>
      <c r="Z130" s="40">
        <f t="shared" si="141"/>
        <v>0</v>
      </c>
      <c r="AA130" s="44">
        <f t="shared" si="142"/>
        <v>11474.772815634989</v>
      </c>
      <c r="AB130" s="35">
        <f t="shared" si="143"/>
        <v>17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731.55813342176612</v>
      </c>
      <c r="AD130" s="57">
        <v>0</v>
      </c>
      <c r="AE130" s="57">
        <v>0</v>
      </c>
      <c r="AF130" s="61">
        <f t="shared" si="131"/>
        <v>17</v>
      </c>
      <c r="AG130" s="40">
        <f t="shared" si="144"/>
        <v>0</v>
      </c>
      <c r="AH130" s="40">
        <f t="shared" si="145"/>
        <v>0</v>
      </c>
      <c r="AI130" s="44">
        <f t="shared" si="146"/>
        <v>12436.488268170024</v>
      </c>
      <c r="AJ130" s="35">
        <f t="shared" si="132"/>
        <v>17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791.38757235473304</v>
      </c>
      <c r="AL130" s="57">
        <v>0</v>
      </c>
      <c r="AM130" s="57">
        <v>0</v>
      </c>
      <c r="AN130" s="61">
        <f t="shared" si="133"/>
        <v>17</v>
      </c>
      <c r="AO130" s="40">
        <f t="shared" si="147"/>
        <v>0</v>
      </c>
      <c r="AP130" s="40">
        <f t="shared" si="148"/>
        <v>0</v>
      </c>
      <c r="AQ130" s="44">
        <f t="shared" si="149"/>
        <v>13453.588730030462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5</v>
      </c>
      <c r="G131" s="35">
        <f>SUMIFS(WORKING!$AC$3:$AC$6802,WORKING!$A$3:$A$6802,Results!$D$3,WORKING!$B$3:$B$6802,Results!A131,WORKING!$C$3:$C$6802,Results!C131)/1000</f>
        <v>3732.9357200000009</v>
      </c>
      <c r="H131" s="35">
        <f t="shared" si="134"/>
        <v>746.58714400000019</v>
      </c>
      <c r="I131" s="187">
        <v>5</v>
      </c>
      <c r="J131" s="212">
        <v>3732.9357200000009</v>
      </c>
      <c r="K131" s="217">
        <f t="shared" si="135"/>
        <v>746.58714400000019</v>
      </c>
      <c r="L131" s="34">
        <f t="shared" si="128"/>
        <v>5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815.06677172024035</v>
      </c>
      <c r="N131" s="57">
        <v>0</v>
      </c>
      <c r="O131" s="57">
        <v>0</v>
      </c>
      <c r="P131" s="61">
        <f t="shared" si="129"/>
        <v>5</v>
      </c>
      <c r="Q131" s="40">
        <f t="shared" si="136"/>
        <v>0</v>
      </c>
      <c r="R131" s="40">
        <f t="shared" si="137"/>
        <v>0</v>
      </c>
      <c r="S131" s="44">
        <f t="shared" si="138"/>
        <v>4075.3338586012019</v>
      </c>
      <c r="T131" s="35">
        <f t="shared" si="139"/>
        <v>5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884.86573049998719</v>
      </c>
      <c r="V131" s="57">
        <v>0</v>
      </c>
      <c r="W131" s="57">
        <v>0</v>
      </c>
      <c r="X131" s="61">
        <f t="shared" si="130"/>
        <v>5</v>
      </c>
      <c r="Y131" s="40">
        <f t="shared" si="140"/>
        <v>0</v>
      </c>
      <c r="Z131" s="40">
        <f t="shared" si="141"/>
        <v>0</v>
      </c>
      <c r="AA131" s="44">
        <f t="shared" si="142"/>
        <v>4424.3286524999357</v>
      </c>
      <c r="AB131" s="35">
        <f t="shared" si="143"/>
        <v>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959.7441881644711</v>
      </c>
      <c r="AD131" s="57">
        <v>0</v>
      </c>
      <c r="AE131" s="57">
        <v>0</v>
      </c>
      <c r="AF131" s="61">
        <f t="shared" si="131"/>
        <v>5</v>
      </c>
      <c r="AG131" s="40">
        <f t="shared" si="144"/>
        <v>0</v>
      </c>
      <c r="AH131" s="40">
        <f t="shared" si="145"/>
        <v>0</v>
      </c>
      <c r="AI131" s="44">
        <f t="shared" si="146"/>
        <v>4798.7209408223553</v>
      </c>
      <c r="AJ131" s="35">
        <f t="shared" si="132"/>
        <v>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1039.0114178513174</v>
      </c>
      <c r="AL131" s="57">
        <v>0</v>
      </c>
      <c r="AM131" s="57">
        <v>0</v>
      </c>
      <c r="AN131" s="61">
        <f t="shared" si="133"/>
        <v>5</v>
      </c>
      <c r="AO131" s="40">
        <f t="shared" si="147"/>
        <v>0</v>
      </c>
      <c r="AP131" s="40">
        <f t="shared" si="148"/>
        <v>0</v>
      </c>
      <c r="AQ131" s="44">
        <f t="shared" si="149"/>
        <v>5195.0570892565875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9</v>
      </c>
      <c r="G132" s="35">
        <f>SUMIFS(WORKING!$AC$3:$AC$6802,WORKING!$A$3:$A$6802,Results!$D$3,WORKING!$B$3:$B$6802,Results!A132,WORKING!$C$3:$C$6802,Results!C132)/1000</f>
        <v>8074.4125800000002</v>
      </c>
      <c r="H132" s="35">
        <f t="shared" si="134"/>
        <v>897.15695333333338</v>
      </c>
      <c r="I132" s="187">
        <v>9</v>
      </c>
      <c r="J132" s="212">
        <v>8074.4125800000002</v>
      </c>
      <c r="K132" s="217">
        <f t="shared" si="135"/>
        <v>897.15695333333338</v>
      </c>
      <c r="L132" s="34">
        <f t="shared" si="128"/>
        <v>9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940.38853782364981</v>
      </c>
      <c r="N132" s="57">
        <v>0</v>
      </c>
      <c r="O132" s="57">
        <v>0</v>
      </c>
      <c r="P132" s="61">
        <f t="shared" si="129"/>
        <v>9</v>
      </c>
      <c r="Q132" s="40">
        <f t="shared" si="136"/>
        <v>0</v>
      </c>
      <c r="R132" s="40">
        <f t="shared" si="137"/>
        <v>0</v>
      </c>
      <c r="S132" s="44">
        <f t="shared" si="138"/>
        <v>8463.4968404128485</v>
      </c>
      <c r="T132" s="35">
        <f t="shared" si="139"/>
        <v>9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1011.4671214519976</v>
      </c>
      <c r="V132" s="57">
        <v>0</v>
      </c>
      <c r="W132" s="57">
        <v>0</v>
      </c>
      <c r="X132" s="61">
        <f t="shared" si="130"/>
        <v>9</v>
      </c>
      <c r="Y132" s="40">
        <f t="shared" si="140"/>
        <v>0</v>
      </c>
      <c r="Z132" s="40">
        <f t="shared" si="141"/>
        <v>0</v>
      </c>
      <c r="AA132" s="44">
        <f t="shared" si="142"/>
        <v>9103.2040930679796</v>
      </c>
      <c r="AB132" s="35">
        <f t="shared" si="143"/>
        <v>9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1086.8917902672999</v>
      </c>
      <c r="AD132" s="57">
        <v>0</v>
      </c>
      <c r="AE132" s="57">
        <v>0</v>
      </c>
      <c r="AF132" s="61">
        <f t="shared" si="131"/>
        <v>9</v>
      </c>
      <c r="AG132" s="40">
        <f t="shared" si="144"/>
        <v>0</v>
      </c>
      <c r="AH132" s="40">
        <f t="shared" si="145"/>
        <v>0</v>
      </c>
      <c r="AI132" s="44">
        <f t="shared" si="146"/>
        <v>9782.0261124056997</v>
      </c>
      <c r="AJ132" s="35">
        <f t="shared" si="132"/>
        <v>9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1165.7351013810426</v>
      </c>
      <c r="AL132" s="57">
        <v>0</v>
      </c>
      <c r="AM132" s="57">
        <v>0</v>
      </c>
      <c r="AN132" s="61">
        <f t="shared" si="133"/>
        <v>9</v>
      </c>
      <c r="AO132" s="40">
        <f t="shared" si="147"/>
        <v>0</v>
      </c>
      <c r="AP132" s="40">
        <f t="shared" si="148"/>
        <v>0</v>
      </c>
      <c r="AQ132" s="44">
        <f t="shared" si="149"/>
        <v>10491.615912429383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</v>
      </c>
      <c r="G133" s="35">
        <f>SUMIFS(WORKING!$AC$3:$AC$6802,WORKING!$A$3:$A$6802,Results!$D$3,WORKING!$B$3:$B$6802,Results!A133,WORKING!$C$3:$C$6802,Results!C133)/1000</f>
        <v>3420.9051099999997</v>
      </c>
      <c r="H133" s="35">
        <f t="shared" si="134"/>
        <v>1140.3017033333333</v>
      </c>
      <c r="I133" s="187">
        <v>3</v>
      </c>
      <c r="J133" s="212">
        <v>3420.9051099999997</v>
      </c>
      <c r="K133" s="217">
        <f t="shared" si="135"/>
        <v>1140.3017033333333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1195.5313836143332</v>
      </c>
      <c r="N133" s="57">
        <v>0</v>
      </c>
      <c r="O133" s="57">
        <v>0</v>
      </c>
      <c r="P133" s="61">
        <f t="shared" si="129"/>
        <v>3</v>
      </c>
      <c r="Q133" s="40">
        <f t="shared" si="136"/>
        <v>0</v>
      </c>
      <c r="R133" s="40">
        <f t="shared" si="137"/>
        <v>0</v>
      </c>
      <c r="S133" s="44">
        <f t="shared" si="138"/>
        <v>3586.5941508429996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1286.197712986655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3858.593138959965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1382.4345515876037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4147.3036547628108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1483.0659146638056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4449.1977439914172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1369.2489299999997</v>
      </c>
      <c r="H134" s="35">
        <f t="shared" si="134"/>
        <v>1369.2489299999997</v>
      </c>
      <c r="I134" s="187">
        <v>1</v>
      </c>
      <c r="J134" s="212">
        <v>1369.2489299999997</v>
      </c>
      <c r="K134" s="217">
        <f t="shared" si="135"/>
        <v>1369.2489299999997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1431.8898660301495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1431.8898660301495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1536.5346714127552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1536.5346714127552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1647.2715895682354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1647.2715895682354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1762.654033994334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1762.654033994334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68</v>
      </c>
      <c r="G140" s="41">
        <f>SUM(G120:G139)</f>
        <v>37612.207070000004</v>
      </c>
      <c r="H140" s="41">
        <f>IFERROR(G140/F140,0)</f>
        <v>553.12069220588239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68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37272.207070000004</v>
      </c>
      <c r="K140" s="41">
        <f>IFERROR(J140/I140,"")</f>
        <v>548.12069220588239</v>
      </c>
      <c r="L140" s="41">
        <f>SUM(L120:L139)</f>
        <v>68</v>
      </c>
      <c r="M140" s="41">
        <f>IFERROR(S140/P140,0)</f>
        <v>589.04577924962155</v>
      </c>
      <c r="N140" s="41">
        <f t="shared" ref="N140:T140" si="151">SUM(N120:N139)</f>
        <v>0</v>
      </c>
      <c r="O140" s="41">
        <f t="shared" si="151"/>
        <v>1</v>
      </c>
      <c r="P140" s="41">
        <f t="shared" si="151"/>
        <v>67</v>
      </c>
      <c r="Q140" s="41">
        <f t="shared" si="151"/>
        <v>0</v>
      </c>
      <c r="R140" s="41">
        <f t="shared" si="151"/>
        <v>-622.20777457818372</v>
      </c>
      <c r="S140" s="45">
        <f t="shared" si="151"/>
        <v>39466.067209724642</v>
      </c>
      <c r="T140" s="41">
        <f t="shared" si="151"/>
        <v>67</v>
      </c>
      <c r="U140" s="41">
        <f>IFERROR(AA140/X140,0)</f>
        <v>637.20178744157522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67</v>
      </c>
      <c r="Y140" s="41">
        <f t="shared" si="152"/>
        <v>0</v>
      </c>
      <c r="Z140" s="41">
        <f t="shared" si="152"/>
        <v>0</v>
      </c>
      <c r="AA140" s="45">
        <f t="shared" si="152"/>
        <v>42692.519758585542</v>
      </c>
      <c r="AB140" s="41">
        <f t="shared" si="152"/>
        <v>67</v>
      </c>
      <c r="AC140" s="41">
        <f>IFERROR(AI140/AF140,0)</f>
        <v>688.66101475923938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67</v>
      </c>
      <c r="AG140" s="41">
        <f t="shared" si="153"/>
        <v>0</v>
      </c>
      <c r="AH140" s="41">
        <f t="shared" si="153"/>
        <v>0</v>
      </c>
      <c r="AI140" s="45">
        <f t="shared" si="153"/>
        <v>46140.287988869037</v>
      </c>
      <c r="AJ140" s="41">
        <f t="shared" si="153"/>
        <v>67</v>
      </c>
      <c r="AK140" s="41">
        <f>IFERROR(AQ140/AN140,0)</f>
        <v>742.89272051411547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67</v>
      </c>
      <c r="AO140" s="41">
        <f t="shared" si="154"/>
        <v>0</v>
      </c>
      <c r="AP140" s="41">
        <f t="shared" si="154"/>
        <v>0</v>
      </c>
      <c r="AQ140" s="45">
        <f t="shared" si="154"/>
        <v>49773.812274445736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38606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39431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40994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44109.544000000002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-860.06720972464245</v>
      </c>
      <c r="T142" s="39"/>
      <c r="U142" s="39"/>
      <c r="V142" s="53"/>
      <c r="W142" s="53"/>
      <c r="X142" s="110"/>
      <c r="Y142" s="39"/>
      <c r="Z142" s="39"/>
      <c r="AA142" s="54">
        <f>AA141-AA140</f>
        <v>-3261.5197585855421</v>
      </c>
      <c r="AB142" s="39"/>
      <c r="AC142" s="53"/>
      <c r="AD142" s="53"/>
      <c r="AE142" s="110"/>
      <c r="AF142" s="39"/>
      <c r="AG142" s="39"/>
      <c r="AH142" s="39"/>
      <c r="AI142" s="54">
        <f>AI141-AI140</f>
        <v>-5146.2879888690368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-5664.2682744457343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Enterprise and Visitor Support Services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2</v>
      </c>
      <c r="G152" s="35">
        <f>SUMIFS(WORKING!$AC$3:$AC$6802,WORKING!$A$3:$A$6802,Results!$D$3,WORKING!$B$3:$B$6802,Results!A152,WORKING!$C$3:$C$6802,Results!C152)/1000</f>
        <v>352.02350999999999</v>
      </c>
      <c r="H152" s="35">
        <f t="shared" si="161"/>
        <v>176.01175499999999</v>
      </c>
      <c r="I152" s="187">
        <v>2</v>
      </c>
      <c r="J152" s="212">
        <v>352.02350999999999</v>
      </c>
      <c r="K152" s="217">
        <f t="shared" si="162"/>
        <v>176.01175499999999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190.97025547253207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381.94051094506415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207.01843758146026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414.03687516292052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224.20534408882077</v>
      </c>
      <c r="AD152" s="57">
        <v>0</v>
      </c>
      <c r="AE152" s="57">
        <v>0</v>
      </c>
      <c r="AF152" s="61">
        <f t="shared" si="158"/>
        <v>2</v>
      </c>
      <c r="AG152" s="40">
        <f t="shared" si="171"/>
        <v>0</v>
      </c>
      <c r="AH152" s="40">
        <f t="shared" si="172"/>
        <v>0</v>
      </c>
      <c r="AI152" s="44">
        <f t="shared" si="173"/>
        <v>448.41068817764153</v>
      </c>
      <c r="AJ152" s="35">
        <f t="shared" si="159"/>
        <v>2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242.36450886999691</v>
      </c>
      <c r="AL152" s="57">
        <v>0</v>
      </c>
      <c r="AM152" s="57">
        <v>0</v>
      </c>
      <c r="AN152" s="61">
        <f t="shared" si="160"/>
        <v>2</v>
      </c>
      <c r="AO152" s="40">
        <f t="shared" si="174"/>
        <v>0</v>
      </c>
      <c r="AP152" s="40">
        <f t="shared" si="175"/>
        <v>0</v>
      </c>
      <c r="AQ152" s="44">
        <f t="shared" si="176"/>
        <v>484.72901773999382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8</v>
      </c>
      <c r="G153" s="35">
        <f>SUMIFS(WORKING!$AC$3:$AC$6802,WORKING!$A$3:$A$6802,Results!$D$3,WORKING!$B$3:$B$6802,Results!A153,WORKING!$C$3:$C$6802,Results!C153)/1000</f>
        <v>1741.6447799999999</v>
      </c>
      <c r="H153" s="35">
        <f t="shared" si="161"/>
        <v>217.70559749999998</v>
      </c>
      <c r="I153" s="187">
        <v>8</v>
      </c>
      <c r="J153" s="212">
        <v>1741.6447799999999</v>
      </c>
      <c r="K153" s="217">
        <f t="shared" si="162"/>
        <v>217.70559749999998</v>
      </c>
      <c r="L153" s="34">
        <f t="shared" si="155"/>
        <v>8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236.62590446538039</v>
      </c>
      <c r="N153" s="57">
        <v>0</v>
      </c>
      <c r="O153" s="57">
        <v>0</v>
      </c>
      <c r="P153" s="61">
        <f t="shared" si="156"/>
        <v>8</v>
      </c>
      <c r="Q153" s="40">
        <f t="shared" si="163"/>
        <v>0</v>
      </c>
      <c r="R153" s="40">
        <f t="shared" si="164"/>
        <v>0</v>
      </c>
      <c r="S153" s="44">
        <f t="shared" si="165"/>
        <v>1893.0072357230431</v>
      </c>
      <c r="T153" s="35">
        <f t="shared" si="166"/>
        <v>8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256.63413496222665</v>
      </c>
      <c r="V153" s="57">
        <v>0</v>
      </c>
      <c r="W153" s="57">
        <v>0</v>
      </c>
      <c r="X153" s="61">
        <f t="shared" si="157"/>
        <v>8</v>
      </c>
      <c r="Y153" s="40">
        <f t="shared" si="167"/>
        <v>0</v>
      </c>
      <c r="Z153" s="40">
        <f t="shared" si="168"/>
        <v>0</v>
      </c>
      <c r="AA153" s="44">
        <f t="shared" si="169"/>
        <v>2053.0730796978132</v>
      </c>
      <c r="AB153" s="35">
        <f t="shared" si="170"/>
        <v>8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278.07416410103235</v>
      </c>
      <c r="AD153" s="57">
        <v>0</v>
      </c>
      <c r="AE153" s="57">
        <v>0</v>
      </c>
      <c r="AF153" s="61">
        <f t="shared" si="158"/>
        <v>8</v>
      </c>
      <c r="AG153" s="40">
        <f t="shared" si="171"/>
        <v>0</v>
      </c>
      <c r="AH153" s="40">
        <f t="shared" si="172"/>
        <v>0</v>
      </c>
      <c r="AI153" s="44">
        <f t="shared" si="173"/>
        <v>2224.5933128082588</v>
      </c>
      <c r="AJ153" s="35">
        <f t="shared" si="159"/>
        <v>8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300.74186471991044</v>
      </c>
      <c r="AL153" s="57">
        <v>0</v>
      </c>
      <c r="AM153" s="57">
        <v>0</v>
      </c>
      <c r="AN153" s="61">
        <f t="shared" si="160"/>
        <v>8</v>
      </c>
      <c r="AO153" s="40">
        <f t="shared" si="174"/>
        <v>0</v>
      </c>
      <c r="AP153" s="40">
        <f t="shared" si="175"/>
        <v>0</v>
      </c>
      <c r="AQ153" s="44">
        <f t="shared" si="176"/>
        <v>2405.9349177592835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13</v>
      </c>
      <c r="G154" s="35">
        <f>SUMIFS(WORKING!$AC$3:$AC$6802,WORKING!$A$3:$A$6802,Results!$D$3,WORKING!$B$3:$B$6802,Results!A154,WORKING!$C$3:$C$6802,Results!C154)/1000</f>
        <v>3934.3975</v>
      </c>
      <c r="H154" s="35">
        <f t="shared" si="161"/>
        <v>302.64596153846156</v>
      </c>
      <c r="I154" s="187">
        <v>13</v>
      </c>
      <c r="J154" s="212">
        <v>3934.3975</v>
      </c>
      <c r="K154" s="217">
        <f t="shared" si="162"/>
        <v>302.64596153846156</v>
      </c>
      <c r="L154" s="34">
        <f t="shared" si="155"/>
        <v>13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329.34055838371336</v>
      </c>
      <c r="N154" s="57">
        <v>1</v>
      </c>
      <c r="O154" s="57">
        <v>0</v>
      </c>
      <c r="P154" s="61">
        <f t="shared" si="156"/>
        <v>14</v>
      </c>
      <c r="Q154" s="40">
        <f t="shared" si="163"/>
        <v>329.34055838371336</v>
      </c>
      <c r="R154" s="40">
        <f t="shared" si="164"/>
        <v>0</v>
      </c>
      <c r="S154" s="44">
        <f t="shared" si="165"/>
        <v>4610.7678173719869</v>
      </c>
      <c r="T154" s="35">
        <f t="shared" si="166"/>
        <v>14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357.309123849679</v>
      </c>
      <c r="V154" s="57">
        <v>0</v>
      </c>
      <c r="W154" s="57">
        <v>0</v>
      </c>
      <c r="X154" s="61">
        <f t="shared" si="157"/>
        <v>14</v>
      </c>
      <c r="Y154" s="40">
        <f t="shared" si="167"/>
        <v>0</v>
      </c>
      <c r="Z154" s="40">
        <f t="shared" si="168"/>
        <v>0</v>
      </c>
      <c r="AA154" s="44">
        <f t="shared" si="169"/>
        <v>5002.3277338955058</v>
      </c>
      <c r="AB154" s="35">
        <f t="shared" si="170"/>
        <v>14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387.29073580275895</v>
      </c>
      <c r="AD154" s="57">
        <v>0</v>
      </c>
      <c r="AE154" s="57">
        <v>0</v>
      </c>
      <c r="AF154" s="61">
        <f t="shared" si="158"/>
        <v>14</v>
      </c>
      <c r="AG154" s="40">
        <f t="shared" si="171"/>
        <v>0</v>
      </c>
      <c r="AH154" s="40">
        <f t="shared" si="172"/>
        <v>0</v>
      </c>
      <c r="AI154" s="44">
        <f t="shared" si="173"/>
        <v>5422.0703012386257</v>
      </c>
      <c r="AJ154" s="35">
        <f t="shared" si="159"/>
        <v>14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419.0030645903941</v>
      </c>
      <c r="AL154" s="57">
        <v>0</v>
      </c>
      <c r="AM154" s="57">
        <v>0</v>
      </c>
      <c r="AN154" s="61">
        <f t="shared" si="160"/>
        <v>14</v>
      </c>
      <c r="AO154" s="40">
        <f t="shared" si="174"/>
        <v>0</v>
      </c>
      <c r="AP154" s="40">
        <f t="shared" si="175"/>
        <v>0</v>
      </c>
      <c r="AQ154" s="44">
        <f t="shared" si="176"/>
        <v>5866.0429042655178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13</v>
      </c>
      <c r="G155" s="35">
        <f>SUMIFS(WORKING!$AC$3:$AC$6802,WORKING!$A$3:$A$6802,Results!$D$3,WORKING!$B$3:$B$6802,Results!A155,WORKING!$C$3:$C$6802,Results!C155)/1000</f>
        <v>4460.9554100000005</v>
      </c>
      <c r="H155" s="35">
        <f t="shared" si="161"/>
        <v>343.15041615384621</v>
      </c>
      <c r="I155" s="187">
        <v>13</v>
      </c>
      <c r="J155" s="212">
        <v>4460.9554100000005</v>
      </c>
      <c r="K155" s="217">
        <f t="shared" si="162"/>
        <v>343.15041615384621</v>
      </c>
      <c r="L155" s="34">
        <f t="shared" si="155"/>
        <v>13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373.47634075062837</v>
      </c>
      <c r="N155" s="57">
        <v>0</v>
      </c>
      <c r="O155" s="57">
        <v>0</v>
      </c>
      <c r="P155" s="61">
        <f t="shared" si="156"/>
        <v>13</v>
      </c>
      <c r="Q155" s="40">
        <f t="shared" si="163"/>
        <v>0</v>
      </c>
      <c r="R155" s="40">
        <f t="shared" si="164"/>
        <v>0</v>
      </c>
      <c r="S155" s="44">
        <f t="shared" si="165"/>
        <v>4855.1924297581691</v>
      </c>
      <c r="T155" s="35">
        <f t="shared" si="166"/>
        <v>13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405.21246274958952</v>
      </c>
      <c r="V155" s="57">
        <v>0</v>
      </c>
      <c r="W155" s="57">
        <v>0</v>
      </c>
      <c r="X155" s="61">
        <f t="shared" si="157"/>
        <v>13</v>
      </c>
      <c r="Y155" s="40">
        <f t="shared" si="167"/>
        <v>0</v>
      </c>
      <c r="Z155" s="40">
        <f t="shared" si="168"/>
        <v>0</v>
      </c>
      <c r="AA155" s="44">
        <f t="shared" si="169"/>
        <v>5267.7620157446636</v>
      </c>
      <c r="AB155" s="35">
        <f t="shared" si="170"/>
        <v>13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439.2346080378955</v>
      </c>
      <c r="AD155" s="57">
        <v>0</v>
      </c>
      <c r="AE155" s="57">
        <v>0</v>
      </c>
      <c r="AF155" s="61">
        <f t="shared" si="158"/>
        <v>13</v>
      </c>
      <c r="AG155" s="40">
        <f t="shared" si="171"/>
        <v>0</v>
      </c>
      <c r="AH155" s="40">
        <f t="shared" si="172"/>
        <v>0</v>
      </c>
      <c r="AI155" s="44">
        <f t="shared" si="173"/>
        <v>5710.0499044926419</v>
      </c>
      <c r="AJ155" s="35">
        <f t="shared" si="159"/>
        <v>13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475.22281860258556</v>
      </c>
      <c r="AL155" s="57">
        <v>0</v>
      </c>
      <c r="AM155" s="57">
        <v>0</v>
      </c>
      <c r="AN155" s="61">
        <f t="shared" si="160"/>
        <v>13</v>
      </c>
      <c r="AO155" s="40">
        <f t="shared" si="174"/>
        <v>0</v>
      </c>
      <c r="AP155" s="40">
        <f t="shared" si="175"/>
        <v>0</v>
      </c>
      <c r="AQ155" s="44">
        <f t="shared" si="176"/>
        <v>6177.8966418336122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18</v>
      </c>
      <c r="G156" s="35">
        <f>SUMIFS(WORKING!$AC$3:$AC$6802,WORKING!$A$3:$A$6802,Results!$D$3,WORKING!$B$3:$B$6802,Results!A156,WORKING!$C$3:$C$6802,Results!C156)/1000</f>
        <v>7518.7176100000015</v>
      </c>
      <c r="H156" s="35">
        <f t="shared" si="161"/>
        <v>417.706533888889</v>
      </c>
      <c r="I156" s="187">
        <v>18</v>
      </c>
      <c r="J156" s="212">
        <v>7518.7176100000015</v>
      </c>
      <c r="K156" s="217">
        <f t="shared" si="162"/>
        <v>417.706533888889</v>
      </c>
      <c r="L156" s="34">
        <f t="shared" si="155"/>
        <v>18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454.96590416153794</v>
      </c>
      <c r="N156" s="57">
        <v>1</v>
      </c>
      <c r="O156" s="57">
        <v>1</v>
      </c>
      <c r="P156" s="61">
        <f t="shared" si="156"/>
        <v>18</v>
      </c>
      <c r="Q156" s="40">
        <f t="shared" si="163"/>
        <v>454.96590416153794</v>
      </c>
      <c r="R156" s="40">
        <f t="shared" si="164"/>
        <v>-454.96590416153794</v>
      </c>
      <c r="S156" s="44">
        <f t="shared" si="165"/>
        <v>8189.3862749076825</v>
      </c>
      <c r="T156" s="35">
        <f t="shared" si="166"/>
        <v>18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493.7335786046732</v>
      </c>
      <c r="V156" s="57">
        <v>0</v>
      </c>
      <c r="W156" s="57">
        <v>0</v>
      </c>
      <c r="X156" s="61">
        <f t="shared" si="157"/>
        <v>18</v>
      </c>
      <c r="Y156" s="40">
        <f t="shared" si="167"/>
        <v>0</v>
      </c>
      <c r="Z156" s="40">
        <f t="shared" si="168"/>
        <v>0</v>
      </c>
      <c r="AA156" s="44">
        <f t="shared" si="169"/>
        <v>8887.2044148841178</v>
      </c>
      <c r="AB156" s="35">
        <f t="shared" si="170"/>
        <v>18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535.30403379435461</v>
      </c>
      <c r="AD156" s="57">
        <v>0</v>
      </c>
      <c r="AE156" s="57">
        <v>0</v>
      </c>
      <c r="AF156" s="61">
        <f t="shared" si="158"/>
        <v>18</v>
      </c>
      <c r="AG156" s="40">
        <f t="shared" si="171"/>
        <v>0</v>
      </c>
      <c r="AH156" s="40">
        <f t="shared" si="172"/>
        <v>0</v>
      </c>
      <c r="AI156" s="44">
        <f t="shared" si="173"/>
        <v>9635.4726082983834</v>
      </c>
      <c r="AJ156" s="35">
        <f t="shared" si="159"/>
        <v>18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579.28902991811299</v>
      </c>
      <c r="AL156" s="57">
        <v>0</v>
      </c>
      <c r="AM156" s="57">
        <v>0</v>
      </c>
      <c r="AN156" s="61">
        <f t="shared" si="160"/>
        <v>18</v>
      </c>
      <c r="AO156" s="40">
        <f t="shared" si="174"/>
        <v>0</v>
      </c>
      <c r="AP156" s="40">
        <f t="shared" si="175"/>
        <v>0</v>
      </c>
      <c r="AQ156" s="44">
        <f t="shared" si="176"/>
        <v>10427.202538526033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3</v>
      </c>
      <c r="G157" s="35">
        <f>SUMIFS(WORKING!$AC$3:$AC$6802,WORKING!$A$3:$A$6802,Results!$D$3,WORKING!$B$3:$B$6802,Results!A157,WORKING!$C$3:$C$6802,Results!C157)/1000</f>
        <v>1504.9458900000002</v>
      </c>
      <c r="H157" s="35">
        <f t="shared" si="161"/>
        <v>501.64863000000008</v>
      </c>
      <c r="I157" s="187">
        <v>3</v>
      </c>
      <c r="J157" s="212">
        <v>1504.9458900000002</v>
      </c>
      <c r="K157" s="217">
        <f t="shared" si="162"/>
        <v>501.64863000000008</v>
      </c>
      <c r="L157" s="34">
        <f t="shared" si="155"/>
        <v>3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546.57461370644842</v>
      </c>
      <c r="N157" s="57">
        <v>0</v>
      </c>
      <c r="O157" s="57">
        <v>0</v>
      </c>
      <c r="P157" s="61">
        <f t="shared" si="156"/>
        <v>3</v>
      </c>
      <c r="Q157" s="40">
        <f t="shared" si="163"/>
        <v>0</v>
      </c>
      <c r="R157" s="40">
        <f t="shared" si="164"/>
        <v>0</v>
      </c>
      <c r="S157" s="44">
        <f t="shared" si="165"/>
        <v>1639.7238411193453</v>
      </c>
      <c r="T157" s="35">
        <f t="shared" si="166"/>
        <v>3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593.20372172106715</v>
      </c>
      <c r="V157" s="57">
        <v>0</v>
      </c>
      <c r="W157" s="57">
        <v>0</v>
      </c>
      <c r="X157" s="61">
        <f t="shared" si="157"/>
        <v>3</v>
      </c>
      <c r="Y157" s="40">
        <f t="shared" si="167"/>
        <v>0</v>
      </c>
      <c r="Z157" s="40">
        <f t="shared" si="168"/>
        <v>0</v>
      </c>
      <c r="AA157" s="44">
        <f t="shared" si="169"/>
        <v>1779.6111651632013</v>
      </c>
      <c r="AB157" s="35">
        <f t="shared" si="170"/>
        <v>3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643.20930163121534</v>
      </c>
      <c r="AD157" s="57">
        <v>0</v>
      </c>
      <c r="AE157" s="57">
        <v>0</v>
      </c>
      <c r="AF157" s="61">
        <f t="shared" si="158"/>
        <v>3</v>
      </c>
      <c r="AG157" s="40">
        <f t="shared" si="171"/>
        <v>0</v>
      </c>
      <c r="AH157" s="40">
        <f t="shared" si="172"/>
        <v>0</v>
      </c>
      <c r="AI157" s="44">
        <f t="shared" si="173"/>
        <v>1929.627904893646</v>
      </c>
      <c r="AJ157" s="35">
        <f t="shared" si="159"/>
        <v>3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696.12575557696698</v>
      </c>
      <c r="AL157" s="57">
        <v>0</v>
      </c>
      <c r="AM157" s="57">
        <v>0</v>
      </c>
      <c r="AN157" s="61">
        <f t="shared" si="160"/>
        <v>3</v>
      </c>
      <c r="AO157" s="40">
        <f t="shared" si="174"/>
        <v>0</v>
      </c>
      <c r="AP157" s="40">
        <f t="shared" si="175"/>
        <v>0</v>
      </c>
      <c r="AQ157" s="44">
        <f t="shared" si="176"/>
        <v>2088.3772667309008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10</v>
      </c>
      <c r="G158" s="35">
        <f>SUMIFS(WORKING!$AC$3:$AC$6802,WORKING!$A$3:$A$6802,Results!$D$3,WORKING!$B$3:$B$6802,Results!A158,WORKING!$C$3:$C$6802,Results!C158)/1000</f>
        <v>6503.5607699999982</v>
      </c>
      <c r="H158" s="35">
        <f t="shared" si="161"/>
        <v>650.3560769999998</v>
      </c>
      <c r="I158" s="187">
        <v>10</v>
      </c>
      <c r="J158" s="212">
        <v>6503.5607699999982</v>
      </c>
      <c r="K158" s="217">
        <f t="shared" si="162"/>
        <v>650.3560769999998</v>
      </c>
      <c r="L158" s="34">
        <f t="shared" si="155"/>
        <v>10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709.79355058049998</v>
      </c>
      <c r="N158" s="57">
        <v>0</v>
      </c>
      <c r="O158" s="57">
        <v>1</v>
      </c>
      <c r="P158" s="61">
        <f t="shared" si="156"/>
        <v>9</v>
      </c>
      <c r="Q158" s="40">
        <f t="shared" si="163"/>
        <v>0</v>
      </c>
      <c r="R158" s="40">
        <f t="shared" si="164"/>
        <v>-709.79355058049998</v>
      </c>
      <c r="S158" s="44">
        <f t="shared" si="165"/>
        <v>6388.1419552244997</v>
      </c>
      <c r="T158" s="35">
        <f t="shared" si="166"/>
        <v>9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770.34346274936593</v>
      </c>
      <c r="V158" s="57">
        <v>0</v>
      </c>
      <c r="W158" s="57">
        <v>0</v>
      </c>
      <c r="X158" s="61">
        <f t="shared" si="157"/>
        <v>9</v>
      </c>
      <c r="Y158" s="40">
        <f t="shared" si="167"/>
        <v>0</v>
      </c>
      <c r="Z158" s="40">
        <f t="shared" si="168"/>
        <v>0</v>
      </c>
      <c r="AA158" s="44">
        <f t="shared" si="169"/>
        <v>6933.0911647442936</v>
      </c>
      <c r="AB158" s="35">
        <f t="shared" si="170"/>
        <v>9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835.27730496629442</v>
      </c>
      <c r="AD158" s="57">
        <v>0</v>
      </c>
      <c r="AE158" s="57">
        <v>0</v>
      </c>
      <c r="AF158" s="61">
        <f t="shared" si="158"/>
        <v>9</v>
      </c>
      <c r="AG158" s="40">
        <f t="shared" si="171"/>
        <v>0</v>
      </c>
      <c r="AH158" s="40">
        <f t="shared" si="172"/>
        <v>0</v>
      </c>
      <c r="AI158" s="44">
        <f t="shared" si="173"/>
        <v>7517.49574469665</v>
      </c>
      <c r="AJ158" s="35">
        <f t="shared" si="159"/>
        <v>9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903.99010298801636</v>
      </c>
      <c r="AL158" s="57">
        <v>0</v>
      </c>
      <c r="AM158" s="57">
        <v>0</v>
      </c>
      <c r="AN158" s="61">
        <f t="shared" si="160"/>
        <v>9</v>
      </c>
      <c r="AO158" s="40">
        <f t="shared" si="174"/>
        <v>0</v>
      </c>
      <c r="AP158" s="40">
        <f t="shared" si="175"/>
        <v>0</v>
      </c>
      <c r="AQ158" s="44">
        <f t="shared" si="176"/>
        <v>8135.9109268921475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22</v>
      </c>
      <c r="G159" s="35">
        <f>SUMIFS(WORKING!$AC$3:$AC$6802,WORKING!$A$3:$A$6802,Results!$D$3,WORKING!$B$3:$B$6802,Results!A159,WORKING!$C$3:$C$6802,Results!C159)/1000</f>
        <v>16354.096239999999</v>
      </c>
      <c r="H159" s="35">
        <f t="shared" si="161"/>
        <v>743.36801090909091</v>
      </c>
      <c r="I159" s="187">
        <v>21</v>
      </c>
      <c r="J159" s="212">
        <v>15611.096240000001</v>
      </c>
      <c r="K159" s="217">
        <f t="shared" si="162"/>
        <v>743.38553523809526</v>
      </c>
      <c r="L159" s="34">
        <f t="shared" si="155"/>
        <v>21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811.51887004880462</v>
      </c>
      <c r="N159" s="57">
        <v>0</v>
      </c>
      <c r="O159" s="57">
        <v>0</v>
      </c>
      <c r="P159" s="61">
        <f t="shared" si="156"/>
        <v>21</v>
      </c>
      <c r="Q159" s="40">
        <f t="shared" si="163"/>
        <v>0</v>
      </c>
      <c r="R159" s="40">
        <f t="shared" si="164"/>
        <v>0</v>
      </c>
      <c r="S159" s="44">
        <f t="shared" si="165"/>
        <v>17041.896271024896</v>
      </c>
      <c r="T159" s="35">
        <f t="shared" si="166"/>
        <v>21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880.956867875949</v>
      </c>
      <c r="V159" s="57">
        <v>0</v>
      </c>
      <c r="W159" s="57">
        <v>0</v>
      </c>
      <c r="X159" s="61">
        <f t="shared" si="157"/>
        <v>21</v>
      </c>
      <c r="Y159" s="40">
        <f t="shared" si="167"/>
        <v>0</v>
      </c>
      <c r="Z159" s="40">
        <f t="shared" si="168"/>
        <v>0</v>
      </c>
      <c r="AA159" s="44">
        <f t="shared" si="169"/>
        <v>18500.094225394929</v>
      </c>
      <c r="AB159" s="35">
        <f t="shared" si="170"/>
        <v>21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955.44258869076236</v>
      </c>
      <c r="AD159" s="57">
        <v>0</v>
      </c>
      <c r="AE159" s="57">
        <v>0</v>
      </c>
      <c r="AF159" s="61">
        <f t="shared" si="158"/>
        <v>21</v>
      </c>
      <c r="AG159" s="40">
        <f t="shared" si="171"/>
        <v>0</v>
      </c>
      <c r="AH159" s="40">
        <f t="shared" si="172"/>
        <v>0</v>
      </c>
      <c r="AI159" s="44">
        <f t="shared" si="173"/>
        <v>20064.294362506011</v>
      </c>
      <c r="AJ159" s="35">
        <f t="shared" si="159"/>
        <v>21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1034.2874631773709</v>
      </c>
      <c r="AL159" s="57">
        <v>0</v>
      </c>
      <c r="AM159" s="57">
        <v>0</v>
      </c>
      <c r="AN159" s="61">
        <f t="shared" si="160"/>
        <v>21</v>
      </c>
      <c r="AO159" s="40">
        <f t="shared" si="174"/>
        <v>0</v>
      </c>
      <c r="AP159" s="40">
        <f t="shared" si="175"/>
        <v>0</v>
      </c>
      <c r="AQ159" s="44">
        <f t="shared" si="176"/>
        <v>21720.036726724789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8</v>
      </c>
      <c r="G160" s="35">
        <f>SUMIFS(WORKING!$AC$3:$AC$6802,WORKING!$A$3:$A$6802,Results!$D$3,WORKING!$B$3:$B$6802,Results!A160,WORKING!$C$3:$C$6802,Results!C160)/1000</f>
        <v>7410.818369999999</v>
      </c>
      <c r="H160" s="35">
        <f t="shared" si="161"/>
        <v>926.35229624999988</v>
      </c>
      <c r="I160" s="187">
        <v>8</v>
      </c>
      <c r="J160" s="212">
        <v>7410.818369999999</v>
      </c>
      <c r="K160" s="217">
        <f t="shared" si="162"/>
        <v>926.35229624999988</v>
      </c>
      <c r="L160" s="34">
        <f t="shared" si="155"/>
        <v>8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970.92793695463092</v>
      </c>
      <c r="N160" s="57">
        <v>0</v>
      </c>
      <c r="O160" s="57">
        <v>0</v>
      </c>
      <c r="P160" s="61">
        <f t="shared" si="156"/>
        <v>8</v>
      </c>
      <c r="Q160" s="40">
        <f t="shared" si="163"/>
        <v>0</v>
      </c>
      <c r="R160" s="40">
        <f t="shared" si="164"/>
        <v>0</v>
      </c>
      <c r="S160" s="44">
        <f t="shared" si="165"/>
        <v>7767.4234956370474</v>
      </c>
      <c r="T160" s="35">
        <f t="shared" si="166"/>
        <v>8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1044.2472883980006</v>
      </c>
      <c r="V160" s="57">
        <v>0</v>
      </c>
      <c r="W160" s="57">
        <v>0</v>
      </c>
      <c r="X160" s="61">
        <f t="shared" si="157"/>
        <v>8</v>
      </c>
      <c r="Y160" s="40">
        <f t="shared" si="167"/>
        <v>0</v>
      </c>
      <c r="Z160" s="40">
        <f t="shared" si="168"/>
        <v>0</v>
      </c>
      <c r="AA160" s="44">
        <f t="shared" si="169"/>
        <v>8353.9783071840047</v>
      </c>
      <c r="AB160" s="35">
        <f t="shared" si="170"/>
        <v>8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1122.0437987035416</v>
      </c>
      <c r="AD160" s="57">
        <v>0</v>
      </c>
      <c r="AE160" s="57">
        <v>0</v>
      </c>
      <c r="AF160" s="61">
        <f t="shared" si="158"/>
        <v>8</v>
      </c>
      <c r="AG160" s="40">
        <f t="shared" si="171"/>
        <v>0</v>
      </c>
      <c r="AH160" s="40">
        <f t="shared" si="172"/>
        <v>0</v>
      </c>
      <c r="AI160" s="44">
        <f t="shared" si="173"/>
        <v>8976.3503896283328</v>
      </c>
      <c r="AJ160" s="35">
        <f t="shared" si="159"/>
        <v>8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1203.3592222828322</v>
      </c>
      <c r="AL160" s="57">
        <v>0</v>
      </c>
      <c r="AM160" s="57">
        <v>0</v>
      </c>
      <c r="AN160" s="61">
        <f t="shared" si="160"/>
        <v>8</v>
      </c>
      <c r="AO160" s="40">
        <f t="shared" si="174"/>
        <v>0</v>
      </c>
      <c r="AP160" s="40">
        <f t="shared" si="175"/>
        <v>0</v>
      </c>
      <c r="AQ160" s="44">
        <f t="shared" si="176"/>
        <v>9626.8737782626577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3</v>
      </c>
      <c r="G161" s="35">
        <f>SUMIFS(WORKING!$AC$3:$AC$6802,WORKING!$A$3:$A$6802,Results!$D$3,WORKING!$B$3:$B$6802,Results!A161,WORKING!$C$3:$C$6802,Results!C161)/1000</f>
        <v>3406.5231999999996</v>
      </c>
      <c r="H161" s="35">
        <f t="shared" si="161"/>
        <v>1135.5077333333331</v>
      </c>
      <c r="I161" s="187">
        <v>3</v>
      </c>
      <c r="J161" s="212">
        <v>3406.5231999999996</v>
      </c>
      <c r="K161" s="217">
        <f t="shared" si="162"/>
        <v>1135.5077333333331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1190.3072026311331</v>
      </c>
      <c r="N161" s="57">
        <v>0</v>
      </c>
      <c r="O161" s="57">
        <v>0</v>
      </c>
      <c r="P161" s="61">
        <f t="shared" si="156"/>
        <v>3</v>
      </c>
      <c r="Q161" s="40">
        <f t="shared" si="163"/>
        <v>0</v>
      </c>
      <c r="R161" s="40">
        <f t="shared" si="164"/>
        <v>0</v>
      </c>
      <c r="S161" s="44">
        <f t="shared" si="165"/>
        <v>3570.9216078933996</v>
      </c>
      <c r="T161" s="35">
        <f t="shared" si="166"/>
        <v>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1280.3643418450176</v>
      </c>
      <c r="V161" s="57">
        <v>0</v>
      </c>
      <c r="W161" s="57">
        <v>0</v>
      </c>
      <c r="X161" s="61">
        <f t="shared" si="157"/>
        <v>3</v>
      </c>
      <c r="Y161" s="40">
        <f t="shared" si="167"/>
        <v>0</v>
      </c>
      <c r="Z161" s="40">
        <f t="shared" si="168"/>
        <v>0</v>
      </c>
      <c r="AA161" s="44">
        <f t="shared" si="169"/>
        <v>3841.0930255350531</v>
      </c>
      <c r="AB161" s="35">
        <f t="shared" si="170"/>
        <v>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1375.9358120537604</v>
      </c>
      <c r="AD161" s="57">
        <v>0</v>
      </c>
      <c r="AE161" s="57">
        <v>0</v>
      </c>
      <c r="AF161" s="61">
        <f t="shared" si="158"/>
        <v>3</v>
      </c>
      <c r="AG161" s="40">
        <f t="shared" si="171"/>
        <v>0</v>
      </c>
      <c r="AH161" s="40">
        <f t="shared" si="172"/>
        <v>0</v>
      </c>
      <c r="AI161" s="44">
        <f t="shared" si="173"/>
        <v>4127.8074361612817</v>
      </c>
      <c r="AJ161" s="35">
        <f t="shared" si="159"/>
        <v>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1475.8485923182609</v>
      </c>
      <c r="AL161" s="57">
        <v>0</v>
      </c>
      <c r="AM161" s="57">
        <v>0</v>
      </c>
      <c r="AN161" s="61">
        <f t="shared" si="160"/>
        <v>3</v>
      </c>
      <c r="AO161" s="40">
        <f t="shared" si="174"/>
        <v>0</v>
      </c>
      <c r="AP161" s="40">
        <f t="shared" si="175"/>
        <v>0</v>
      </c>
      <c r="AQ161" s="44">
        <f t="shared" si="176"/>
        <v>4427.5457769547829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1325.7937299999996</v>
      </c>
      <c r="H162" s="35">
        <f t="shared" si="161"/>
        <v>1325.7937299999996</v>
      </c>
      <c r="I162" s="187">
        <v>1</v>
      </c>
      <c r="J162" s="212">
        <v>1325.7937299999996</v>
      </c>
      <c r="K162" s="217">
        <f t="shared" si="162"/>
        <v>1325.7937299999996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1387.2434324861495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1387.2434324861495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1489.4808976634488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1489.4808976634488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1597.7443596029686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1597.7443596029686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1710.6402069931646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1710.6402069931646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101</v>
      </c>
      <c r="G168" s="41">
        <f>SUM(G148:G167)</f>
        <v>54513.477009999995</v>
      </c>
      <c r="H168" s="41">
        <f>IFERROR(G168/F168,0)</f>
        <v>539.7373961386138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100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53770.477009999995</v>
      </c>
      <c r="K168" s="41">
        <f>IFERROR(J168/I168,"")</f>
        <v>537.70477009999991</v>
      </c>
      <c r="L168" s="41">
        <f>SUM(L148:L167)</f>
        <v>100</v>
      </c>
      <c r="M168" s="41">
        <f>IFERROR(S168/P168,0)</f>
        <v>577.25644872091277</v>
      </c>
      <c r="N168" s="41">
        <f t="shared" ref="N168:T168" si="177">SUM(N148:N167)</f>
        <v>2</v>
      </c>
      <c r="O168" s="41">
        <f t="shared" si="177"/>
        <v>2</v>
      </c>
      <c r="P168" s="41">
        <f t="shared" si="177"/>
        <v>100</v>
      </c>
      <c r="Q168" s="41">
        <f t="shared" si="177"/>
        <v>784.30646254525129</v>
      </c>
      <c r="R168" s="41">
        <f t="shared" si="177"/>
        <v>-1164.7594547420379</v>
      </c>
      <c r="S168" s="45">
        <f t="shared" si="177"/>
        <v>57725.644872091281</v>
      </c>
      <c r="T168" s="41">
        <f t="shared" si="177"/>
        <v>100</v>
      </c>
      <c r="U168" s="41">
        <f>IFERROR(AA168/X168,0)</f>
        <v>625.21752905069957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100</v>
      </c>
      <c r="Y168" s="41">
        <f t="shared" si="178"/>
        <v>0</v>
      </c>
      <c r="Z168" s="41">
        <f t="shared" si="178"/>
        <v>0</v>
      </c>
      <c r="AA168" s="45">
        <f t="shared" si="178"/>
        <v>62521.752905069952</v>
      </c>
      <c r="AB168" s="41">
        <f t="shared" si="178"/>
        <v>100</v>
      </c>
      <c r="AC168" s="41">
        <f>IFERROR(AI168/AF168,0)</f>
        <v>676.53917012504428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100</v>
      </c>
      <c r="AG168" s="41">
        <f t="shared" si="179"/>
        <v>0</v>
      </c>
      <c r="AH168" s="41">
        <f t="shared" si="179"/>
        <v>0</v>
      </c>
      <c r="AI168" s="45">
        <f t="shared" si="179"/>
        <v>67653.917012504433</v>
      </c>
      <c r="AJ168" s="41">
        <f t="shared" si="179"/>
        <v>100</v>
      </c>
      <c r="AK168" s="41">
        <f>IFERROR(AQ168/AN168,0)</f>
        <v>730.71190702682873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100</v>
      </c>
      <c r="AO168" s="41">
        <f t="shared" si="180"/>
        <v>0</v>
      </c>
      <c r="AP168" s="41">
        <f t="shared" si="180"/>
        <v>0</v>
      </c>
      <c r="AQ168" s="45">
        <f t="shared" si="180"/>
        <v>73071.19070268287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53880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58928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61265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65921.14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-3845.6448720912813</v>
      </c>
      <c r="T170" s="39"/>
      <c r="U170" s="39"/>
      <c r="V170" s="53"/>
      <c r="W170" s="53"/>
      <c r="X170" s="110"/>
      <c r="Y170" s="39"/>
      <c r="Z170" s="39"/>
      <c r="AA170" s="54">
        <f>AA169-AA168</f>
        <v>-3593.7529050699522</v>
      </c>
      <c r="AB170" s="39"/>
      <c r="AC170" s="53"/>
      <c r="AD170" s="53"/>
      <c r="AE170" s="110"/>
      <c r="AF170" s="39"/>
      <c r="AG170" s="39"/>
      <c r="AH170" s="39"/>
      <c r="AI170" s="54">
        <f>AI169-AI168</f>
        <v>-6388.9170125044329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-7150.0507026828709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Z4HDdPgfKiOvGEP3y51bJpZHzr6Odeder1KzBaYRQhgTSpuDkwPyBafT9TeVSlEMlWMHakeGsGKSne3N0PDXQw==" saltValue="feZf2sSDkgPPVZLFkrer9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Tourism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33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42671.511761458336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NAT_HRBP__42671.5117614583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HRBP-Vote33.xlsx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df7ca258-5e24-45de-bd31-dbc76bc6765a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